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ЦяКнига"/>
  <mc:AlternateContent xmlns:mc="http://schemas.openxmlformats.org/markup-compatibility/2006">
    <mc:Choice Requires="x15">
      <x15ac:absPath xmlns:x15ac="http://schemas.microsoft.com/office/spreadsheetml/2010/11/ac" url="E:\Діденко\звіт доз\Звіти НСЗУ 2020\2-й квартал 2020\"/>
    </mc:Choice>
  </mc:AlternateContent>
  <xr:revisionPtr revIDLastSave="0" documentId="8_{CF8C1E75-7171-4571-BFFD-C36DE2C490D4}" xr6:coauthVersionLast="37" xr6:coauthVersionMax="37" xr10:uidLastSave="{00000000-0000-0000-0000-000000000000}"/>
  <workbookProtection workbookAlgorithmName="SHA-512" workbookHashValue="47ZsNxzWzPBpGjP9pSz4nRiyxsazcQkYi6S5srXYIxigf0YZzmFBCq7IvXVWg8fwRnIes2m5Bqmu1dNIGicFlQ==" workbookSaltValue="XzEYBcdUlzd17ywGWSMAEw==" workbookSpinCount="100000" lockStructure="1"/>
  <bookViews>
    <workbookView xWindow="0" yWindow="0" windowWidth="15945" windowHeight="9915" tabRatio="881" activeTab="6" xr2:uid="{00000000-000D-0000-FFFF-FFFF00000000}"/>
  </bookViews>
  <sheets>
    <sheet name="Автоперевірка " sheetId="71" r:id="rId1"/>
    <sheet name="Hidden_резерв" sheetId="69" state="hidden" r:id="rId2"/>
    <sheet name="Звіт 1,2,3" sheetId="38" r:id="rId3"/>
    <sheet name="Звіт   4,5,6" sheetId="40" r:id="rId4"/>
    <sheet name="Звіт  7,8" sheetId="42" r:id="rId5"/>
    <sheet name="Звіт   9" sheetId="47" r:id="rId6"/>
    <sheet name="Звіт 10, 11,12,13,14" sheetId="74" r:id="rId7"/>
    <sheet name="Дод_Надходж ПМГ " sheetId="15" r:id="rId8"/>
    <sheet name="Дод_Доходи ПМГ " sheetId="17" r:id="rId9"/>
  </sheets>
  <externalReferences>
    <externalReference r:id="rId10"/>
  </externalReferences>
  <definedNames>
    <definedName name="__123Graph_XGRAPH3" localSheetId="1" hidden="1">[1]GDP!#REF!</definedName>
    <definedName name="__123Graph_XGRAPH3" localSheetId="0" hidden="1">[1]GDP!#REF!</definedName>
    <definedName name="__123Graph_XGRAPH3" localSheetId="8" hidden="1">[1]GDP!#REF!</definedName>
    <definedName name="__123Graph_XGRAPH3" localSheetId="3" hidden="1">[1]GDP!#REF!</definedName>
    <definedName name="__123Graph_XGRAPH3" localSheetId="5" hidden="1">[1]GDP!#REF!</definedName>
    <definedName name="__123Graph_XGRAPH3" localSheetId="4" hidden="1">[1]GDP!#REF!</definedName>
    <definedName name="__123Graph_XGRAPH3" localSheetId="2" hidden="1">[1]GDP!#REF!</definedName>
    <definedName name="__123Graph_XGRAPH3" localSheetId="6" hidden="1">[1]GDP!#REF!</definedName>
    <definedName name="__123Graph_XGRAPH3" hidden="1">[1]GDP!#REF!</definedName>
    <definedName name="_xlnm._FilterDatabase" localSheetId="3" hidden="1">'Звіт   4,5,6'!$A$25:$H$29</definedName>
    <definedName name="_xlnm._FilterDatabase" localSheetId="5" hidden="1">'Звіт   9'!#REF!</definedName>
    <definedName name="_xlnm._FilterDatabase" localSheetId="4" hidden="1">'Звіт  7,8'!#REF!</definedName>
    <definedName name="_xlnm._FilterDatabase" localSheetId="2" hidden="1">'Звіт 1,2,3'!#REF!</definedName>
    <definedName name="_xlnm._FilterDatabase" localSheetId="6" hidden="1">'Звіт 10, 11,12,13,14'!#REF!</definedName>
    <definedName name="_xlnm.Print_Area" localSheetId="8">'Дод_Доходи ПМГ '!$A$1:$Y$40</definedName>
    <definedName name="_xlnm.Print_Area" localSheetId="3">'Звіт   4,5,6'!$A$1:$O$259</definedName>
    <definedName name="_xlnm.Print_Area" localSheetId="5">'Звіт   9'!$A$1:$J$89</definedName>
    <definedName name="_xlnm.Print_Area" localSheetId="4">'Звіт  7,8'!$A$1:$V$132</definedName>
    <definedName name="_xlnm.Print_Area" localSheetId="2">'Звіт 1,2,3'!$A$1:$O$105</definedName>
    <definedName name="_xlnm.Print_Area" localSheetId="6">'Звіт 10, 11,12,13,14'!$B$1:$Q$31</definedName>
    <definedName name="щщщ" localSheetId="1" hidden="1">[1]GDP!#REF!</definedName>
    <definedName name="щщщ" localSheetId="0" hidden="1">[1]GDP!#REF!</definedName>
    <definedName name="щщщ" localSheetId="8" hidden="1">[1]GDP!#REF!</definedName>
    <definedName name="щщщ" localSheetId="3" hidden="1">[1]GDP!#REF!</definedName>
    <definedName name="щщщ" localSheetId="5" hidden="1">[1]GDP!#REF!</definedName>
    <definedName name="щщщ" localSheetId="4" hidden="1">[1]GDP!#REF!</definedName>
    <definedName name="щщщ" localSheetId="2" hidden="1">[1]GDP!#REF!</definedName>
    <definedName name="щщщ" localSheetId="6" hidden="1">[1]GDP!#REF!</definedName>
    <definedName name="щщщ" hidden="1">[1]GDP!#REF!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0" i="47" l="1"/>
  <c r="H59" i="47"/>
  <c r="H38" i="47"/>
  <c r="T19" i="74"/>
  <c r="R19" i="74"/>
  <c r="H39" i="47"/>
  <c r="H21" i="40"/>
  <c r="F15" i="40"/>
  <c r="G65" i="40" l="1"/>
  <c r="M50" i="40"/>
  <c r="H15" i="40"/>
  <c r="O19" i="74"/>
  <c r="M19" i="74"/>
  <c r="N19" i="38"/>
  <c r="K65" i="40"/>
  <c r="K79" i="40"/>
  <c r="J79" i="40"/>
  <c r="H26" i="47"/>
  <c r="M53" i="40"/>
  <c r="K34" i="38"/>
  <c r="H19" i="74"/>
  <c r="K52" i="40"/>
  <c r="M52" i="40"/>
  <c r="M41" i="40"/>
  <c r="J50" i="40"/>
  <c r="K50" i="40"/>
  <c r="J49" i="40"/>
  <c r="F49" i="40"/>
  <c r="K49" i="40"/>
  <c r="M49" i="40"/>
  <c r="G49" i="40"/>
  <c r="J65" i="40"/>
  <c r="J70" i="40"/>
  <c r="K80" i="40"/>
  <c r="H37" i="38" l="1"/>
  <c r="K35" i="38"/>
  <c r="K84" i="40" l="1"/>
  <c r="E48" i="47" l="1"/>
  <c r="J33" i="38"/>
  <c r="I52" i="38"/>
  <c r="J19" i="74"/>
  <c r="H11" i="42" l="1"/>
  <c r="G10" i="15"/>
  <c r="D10" i="15"/>
  <c r="E10" i="17"/>
  <c r="I25" i="74" l="1"/>
  <c r="X14" i="74"/>
  <c r="W14" i="74"/>
  <c r="P14" i="74"/>
  <c r="F14" i="74"/>
  <c r="F12" i="42" l="1"/>
  <c r="F11" i="42"/>
  <c r="F10" i="42"/>
  <c r="F9" i="42"/>
  <c r="E23" i="42" l="1"/>
  <c r="E22" i="42"/>
  <c r="E21" i="42"/>
  <c r="A3" i="47"/>
  <c r="I72" i="71" l="1"/>
  <c r="H72" i="71"/>
  <c r="I70" i="71"/>
  <c r="I85" i="71" l="1"/>
  <c r="D1" i="71"/>
  <c r="G29" i="71" l="1"/>
  <c r="J29" i="71"/>
  <c r="J28" i="74" l="1"/>
  <c r="K28" i="74" s="1"/>
  <c r="J26" i="74"/>
  <c r="K26" i="74" s="1"/>
  <c r="E15" i="42" l="1"/>
  <c r="F15" i="42"/>
  <c r="N20" i="42" l="1"/>
  <c r="E9" i="42" l="1"/>
  <c r="F8" i="40" l="1"/>
  <c r="D52" i="40"/>
  <c r="E51" i="40"/>
  <c r="E58" i="40"/>
  <c r="Y17" i="74"/>
  <c r="V17" i="74"/>
  <c r="V12" i="74"/>
  <c r="Y12" i="74"/>
  <c r="K14" i="74"/>
  <c r="F81" i="47"/>
  <c r="E81" i="47"/>
  <c r="F19" i="40"/>
  <c r="I48" i="38" l="1"/>
  <c r="O19" i="38" s="1"/>
  <c r="H14" i="40"/>
  <c r="F14" i="40"/>
  <c r="H19" i="40"/>
  <c r="F83" i="40"/>
  <c r="E79" i="40"/>
  <c r="D72" i="40"/>
  <c r="G1" i="74"/>
  <c r="E10" i="15"/>
  <c r="D9" i="17"/>
  <c r="E9" i="17"/>
  <c r="G10" i="74"/>
  <c r="F19" i="74"/>
  <c r="G15" i="74"/>
  <c r="H10" i="74"/>
  <c r="I10" i="74"/>
  <c r="H15" i="74"/>
  <c r="F7" i="40" l="1"/>
  <c r="G15" i="40" s="1"/>
  <c r="H90" i="71"/>
  <c r="V11" i="74"/>
  <c r="I24" i="74"/>
  <c r="J24" i="74"/>
  <c r="K24" i="74"/>
  <c r="L24" i="74"/>
  <c r="M24" i="74"/>
  <c r="Y14" i="74"/>
  <c r="U14" i="74" s="1"/>
  <c r="G19" i="40" l="1"/>
  <c r="G82" i="71"/>
  <c r="I11" i="71"/>
  <c r="G27" i="71"/>
  <c r="H8" i="40"/>
  <c r="H7" i="40" s="1"/>
  <c r="I42" i="74" l="1"/>
  <c r="F16" i="74"/>
  <c r="F12" i="74"/>
  <c r="F13" i="74"/>
  <c r="J25" i="74" s="1"/>
  <c r="K25" i="74" s="1"/>
  <c r="F17" i="74"/>
  <c r="F18" i="74"/>
  <c r="F11" i="74"/>
  <c r="W11" i="74"/>
  <c r="F42" i="74"/>
  <c r="L78" i="71" s="1"/>
  <c r="H42" i="74"/>
  <c r="G42" i="74"/>
  <c r="M42" i="74"/>
  <c r="M39" i="74"/>
  <c r="L37" i="74"/>
  <c r="I39" i="74"/>
  <c r="J15" i="74"/>
  <c r="I15" i="74"/>
  <c r="J10" i="74"/>
  <c r="G90" i="71" l="1"/>
  <c r="F15" i="74"/>
  <c r="J42" i="74"/>
  <c r="K42" i="74"/>
  <c r="K12" i="74" l="1"/>
  <c r="F9" i="15" l="1"/>
  <c r="K80" i="71"/>
  <c r="I80" i="71"/>
  <c r="I78" i="71"/>
  <c r="I15" i="71"/>
  <c r="G37" i="71"/>
  <c r="G39" i="71" s="1"/>
  <c r="I22" i="71"/>
  <c r="X12" i="74"/>
  <c r="W12" i="74"/>
  <c r="H26" i="40"/>
  <c r="F26" i="40"/>
  <c r="G27" i="40" s="1"/>
  <c r="E42" i="74"/>
  <c r="L42" i="74"/>
  <c r="N78" i="71" s="1"/>
  <c r="K78" i="71"/>
  <c r="G1" i="71" l="1"/>
  <c r="K93" i="71" l="1"/>
  <c r="G94" i="71"/>
  <c r="H93" i="71"/>
  <c r="O80" i="71"/>
  <c r="F95" i="71" s="1"/>
  <c r="H70" i="71"/>
  <c r="G70" i="71"/>
  <c r="I62" i="71"/>
  <c r="I60" i="71"/>
  <c r="H62" i="71"/>
  <c r="H60" i="71"/>
  <c r="D85" i="40"/>
  <c r="E85" i="40"/>
  <c r="E36" i="40"/>
  <c r="AA14" i="74" s="1"/>
  <c r="E37" i="40"/>
  <c r="E38" i="40"/>
  <c r="E41" i="40"/>
  <c r="E42" i="40"/>
  <c r="E43" i="40"/>
  <c r="E44" i="40"/>
  <c r="E45" i="40"/>
  <c r="E46" i="40"/>
  <c r="E47" i="40"/>
  <c r="E48" i="40"/>
  <c r="E49" i="40"/>
  <c r="E50" i="40"/>
  <c r="H32" i="71" s="1"/>
  <c r="E52" i="40"/>
  <c r="E53" i="40"/>
  <c r="E55" i="40"/>
  <c r="E56" i="40"/>
  <c r="E57" i="40"/>
  <c r="E59" i="40"/>
  <c r="E60" i="40"/>
  <c r="E61" i="40"/>
  <c r="E63" i="40"/>
  <c r="E64" i="40"/>
  <c r="E65" i="40"/>
  <c r="E66" i="40"/>
  <c r="E68" i="40"/>
  <c r="E69" i="40"/>
  <c r="E70" i="40"/>
  <c r="E71" i="40"/>
  <c r="E72" i="40"/>
  <c r="E73" i="40"/>
  <c r="E74" i="40"/>
  <c r="E75" i="40"/>
  <c r="E76" i="40"/>
  <c r="E77" i="40"/>
  <c r="E78" i="40"/>
  <c r="E80" i="40"/>
  <c r="E81" i="40"/>
  <c r="E82" i="40"/>
  <c r="E84" i="40"/>
  <c r="E86" i="40"/>
  <c r="G67" i="38"/>
  <c r="G68" i="38"/>
  <c r="G69" i="38"/>
  <c r="G71" i="38"/>
  <c r="G72" i="38"/>
  <c r="G73" i="38"/>
  <c r="G74" i="38"/>
  <c r="G76" i="38"/>
  <c r="G77" i="38"/>
  <c r="N75" i="38"/>
  <c r="M75" i="38"/>
  <c r="N70" i="38"/>
  <c r="M70" i="38"/>
  <c r="N66" i="38"/>
  <c r="M66" i="38"/>
  <c r="M65" i="38" s="1"/>
  <c r="G30" i="38"/>
  <c r="N29" i="38"/>
  <c r="N28" i="38" s="1"/>
  <c r="M29" i="38"/>
  <c r="M28" i="38" s="1"/>
  <c r="L39" i="74"/>
  <c r="H39" i="74"/>
  <c r="H37" i="74"/>
  <c r="G37" i="74"/>
  <c r="G31" i="38"/>
  <c r="G32" i="38"/>
  <c r="G33" i="38"/>
  <c r="G34" i="38"/>
  <c r="G35" i="38"/>
  <c r="G36" i="38"/>
  <c r="G37" i="38"/>
  <c r="G32" i="71" s="1"/>
  <c r="G38" i="38"/>
  <c r="G39" i="38"/>
  <c r="G40" i="38"/>
  <c r="G41" i="38"/>
  <c r="G42" i="38"/>
  <c r="G43" i="38"/>
  <c r="N65" i="38" l="1"/>
  <c r="Z14" i="74"/>
  <c r="M19" i="71" s="1"/>
  <c r="G50" i="71"/>
  <c r="N80" i="71"/>
  <c r="N39" i="74"/>
  <c r="I90" i="71"/>
  <c r="F31" i="71"/>
  <c r="I32" i="71"/>
  <c r="H84" i="71" l="1"/>
  <c r="F96" i="71" s="1"/>
  <c r="K15" i="71"/>
  <c r="L41" i="74"/>
  <c r="E37" i="74"/>
  <c r="F37" i="74"/>
  <c r="J37" i="74" s="1"/>
  <c r="G39" i="74"/>
  <c r="K39" i="74" s="1"/>
  <c r="F41" i="74"/>
  <c r="F39" i="74"/>
  <c r="B42" i="74"/>
  <c r="L80" i="71" l="1"/>
  <c r="J39" i="74"/>
  <c r="O37" i="74"/>
  <c r="J15" i="71"/>
  <c r="I28" i="74"/>
  <c r="J78" i="71" l="1"/>
  <c r="T80" i="71"/>
  <c r="O42" i="74"/>
  <c r="I26" i="74" l="1"/>
  <c r="I27" i="74"/>
  <c r="O41" i="74" s="1"/>
  <c r="K16" i="74"/>
  <c r="K13" i="74"/>
  <c r="K11" i="74"/>
  <c r="X11" i="74"/>
  <c r="X10" i="74" s="1"/>
  <c r="Y11" i="74"/>
  <c r="W13" i="74"/>
  <c r="W10" i="74" s="1"/>
  <c r="X13" i="74"/>
  <c r="Y13" i="74"/>
  <c r="P19" i="74"/>
  <c r="P18" i="74"/>
  <c r="P17" i="74"/>
  <c r="P16" i="74"/>
  <c r="P13" i="74"/>
  <c r="P12" i="74"/>
  <c r="P11" i="74"/>
  <c r="K19" i="74"/>
  <c r="K18" i="74"/>
  <c r="K17" i="74"/>
  <c r="X16" i="74"/>
  <c r="X17" i="74"/>
  <c r="X18" i="74"/>
  <c r="X19" i="74"/>
  <c r="N8" i="74"/>
  <c r="S8" i="74" s="1"/>
  <c r="X8" i="74" s="1"/>
  <c r="M37" i="74" l="1"/>
  <c r="N37" i="74" s="1"/>
  <c r="L15" i="71" s="1"/>
  <c r="X15" i="74"/>
  <c r="Y10" i="74"/>
  <c r="O39" i="74"/>
  <c r="J80" i="71"/>
  <c r="K90" i="71"/>
  <c r="U12" i="74"/>
  <c r="V13" i="74" l="1"/>
  <c r="W19" i="74"/>
  <c r="J94" i="71" s="1"/>
  <c r="Y19" i="74"/>
  <c r="Y18" i="74"/>
  <c r="W18" i="74"/>
  <c r="V18" i="74"/>
  <c r="W17" i="74"/>
  <c r="Y16" i="74"/>
  <c r="W16" i="74"/>
  <c r="V16" i="74"/>
  <c r="L26" i="74" s="1"/>
  <c r="M26" i="74" s="1"/>
  <c r="O8" i="74"/>
  <c r="T8" i="74" s="1"/>
  <c r="Y8" i="74" s="1"/>
  <c r="M8" i="74"/>
  <c r="R8" i="74" s="1"/>
  <c r="W8" i="74" s="1"/>
  <c r="L8" i="74"/>
  <c r="Q8" i="74" s="1"/>
  <c r="V8" i="74" s="1"/>
  <c r="B3" i="74"/>
  <c r="E1" i="74"/>
  <c r="E62" i="47"/>
  <c r="M54" i="40"/>
  <c r="M67" i="40"/>
  <c r="H67" i="40"/>
  <c r="G67" i="40"/>
  <c r="E67" i="40" s="1"/>
  <c r="I67" i="40"/>
  <c r="J67" i="40"/>
  <c r="K67" i="40"/>
  <c r="L67" i="40"/>
  <c r="N67" i="40"/>
  <c r="O67" i="40"/>
  <c r="F67" i="40"/>
  <c r="F62" i="40" s="1"/>
  <c r="K5" i="42"/>
  <c r="E41" i="74"/>
  <c r="E39" i="74"/>
  <c r="H24" i="74"/>
  <c r="G24" i="74"/>
  <c r="F24" i="74"/>
  <c r="E24" i="74"/>
  <c r="B24" i="74"/>
  <c r="E23" i="74"/>
  <c r="L28" i="74" l="1"/>
  <c r="M28" i="74" s="1"/>
  <c r="V15" i="74"/>
  <c r="W15" i="74"/>
  <c r="U13" i="74"/>
  <c r="V10" i="74"/>
  <c r="U10" i="74" s="1"/>
  <c r="Y15" i="74"/>
  <c r="U11" i="74"/>
  <c r="U17" i="74"/>
  <c r="U19" i="74"/>
  <c r="N42" i="74"/>
  <c r="O78" i="71" s="1"/>
  <c r="U16" i="74"/>
  <c r="F10" i="74"/>
  <c r="U18" i="74"/>
  <c r="L25" i="74" l="1"/>
  <c r="M25" i="74" s="1"/>
  <c r="J90" i="71"/>
  <c r="L90" i="71" s="1"/>
  <c r="F89" i="71" s="1"/>
  <c r="U15" i="74"/>
  <c r="G59" i="47"/>
  <c r="Q80" i="71" s="1"/>
  <c r="J59" i="47"/>
  <c r="H81" i="47"/>
  <c r="I81" i="47"/>
  <c r="G61" i="47"/>
  <c r="G60" i="47"/>
  <c r="J84" i="71" l="1"/>
  <c r="H92" i="71"/>
  <c r="J79" i="47"/>
  <c r="H78" i="71" s="1"/>
  <c r="G79" i="47"/>
  <c r="G78" i="71" s="1"/>
  <c r="J75" i="47"/>
  <c r="G75" i="47"/>
  <c r="J61" i="47"/>
  <c r="J60" i="47"/>
  <c r="K92" i="71" l="1"/>
  <c r="K94" i="71" s="1"/>
  <c r="L94" i="71" s="1"/>
  <c r="H94" i="71"/>
  <c r="I94" i="71" s="1"/>
  <c r="M78" i="71"/>
  <c r="G75" i="71" s="1"/>
  <c r="C38" i="17" l="1"/>
  <c r="C39" i="17"/>
  <c r="C40" i="17"/>
  <c r="C37" i="17"/>
  <c r="G9" i="15"/>
  <c r="H9" i="15"/>
  <c r="E40" i="15"/>
  <c r="D9" i="15" s="1"/>
  <c r="E38" i="15"/>
  <c r="E39" i="15"/>
  <c r="G72" i="71" l="1"/>
  <c r="G62" i="71"/>
  <c r="G60" i="71"/>
  <c r="H56" i="71"/>
  <c r="G56" i="71"/>
  <c r="H54" i="71"/>
  <c r="G54" i="71"/>
  <c r="H52" i="71"/>
  <c r="G52" i="71"/>
  <c r="G36" i="71"/>
  <c r="J27" i="71"/>
  <c r="D18" i="71"/>
  <c r="I12" i="71"/>
  <c r="C3" i="71"/>
  <c r="F1" i="71"/>
  <c r="E1" i="71"/>
  <c r="C1" i="71"/>
  <c r="O83" i="40"/>
  <c r="N83" i="40"/>
  <c r="O62" i="40"/>
  <c r="N62" i="40"/>
  <c r="O54" i="40"/>
  <c r="O39" i="40" s="1"/>
  <c r="N54" i="40"/>
  <c r="N39" i="40" s="1"/>
  <c r="D36" i="40"/>
  <c r="D37" i="40"/>
  <c r="D38" i="40"/>
  <c r="D41" i="40"/>
  <c r="D42" i="40"/>
  <c r="D43" i="40"/>
  <c r="D44" i="40"/>
  <c r="D45" i="40"/>
  <c r="D46" i="40"/>
  <c r="D47" i="40"/>
  <c r="D48" i="40"/>
  <c r="D49" i="40"/>
  <c r="D50" i="40"/>
  <c r="D51" i="40"/>
  <c r="D53" i="40"/>
  <c r="D55" i="40"/>
  <c r="D56" i="40"/>
  <c r="D57" i="40"/>
  <c r="D58" i="40"/>
  <c r="D59" i="40"/>
  <c r="D60" i="40"/>
  <c r="D61" i="40"/>
  <c r="D63" i="40"/>
  <c r="D64" i="40"/>
  <c r="D65" i="40"/>
  <c r="D66" i="40"/>
  <c r="D68" i="40"/>
  <c r="D69" i="40"/>
  <c r="D70" i="40"/>
  <c r="D71" i="40"/>
  <c r="D73" i="40"/>
  <c r="D74" i="40"/>
  <c r="D75" i="40"/>
  <c r="D76" i="40"/>
  <c r="D77" i="40"/>
  <c r="D78" i="40"/>
  <c r="D79" i="40"/>
  <c r="D80" i="40"/>
  <c r="D81" i="40"/>
  <c r="D82" i="40"/>
  <c r="D84" i="40"/>
  <c r="D86" i="40"/>
  <c r="G8" i="42"/>
  <c r="G64" i="71"/>
  <c r="G66" i="71"/>
  <c r="F13" i="42"/>
  <c r="F14" i="42"/>
  <c r="E10" i="42"/>
  <c r="E11" i="42"/>
  <c r="E12" i="42"/>
  <c r="E13" i="42"/>
  <c r="E14" i="42"/>
  <c r="G68" i="71" l="1"/>
  <c r="F8" i="42"/>
  <c r="E8" i="42"/>
  <c r="G58" i="71"/>
  <c r="F55" i="71"/>
  <c r="F5" i="71"/>
  <c r="F51" i="71"/>
  <c r="F53" i="71"/>
  <c r="O35" i="40"/>
  <c r="J58" i="71" l="1"/>
  <c r="N35" i="40"/>
  <c r="N8" i="42" l="1"/>
  <c r="M8" i="42"/>
  <c r="E1" i="17" l="1"/>
  <c r="H1" i="15"/>
  <c r="F1" i="47"/>
  <c r="F1" i="42"/>
  <c r="I1" i="40"/>
  <c r="AQ3" i="69" l="1"/>
  <c r="AP3" i="69"/>
  <c r="AO3" i="69"/>
  <c r="AN3" i="69"/>
  <c r="AM3" i="69"/>
  <c r="AL3" i="69"/>
  <c r="AK3" i="69"/>
  <c r="AJ3" i="69"/>
  <c r="AI3" i="69"/>
  <c r="AH3" i="69"/>
  <c r="AG3" i="69"/>
  <c r="AF3" i="69"/>
  <c r="AE3" i="69"/>
  <c r="AD3" i="69"/>
  <c r="AC3" i="69"/>
  <c r="AB3" i="69"/>
  <c r="AA3" i="69"/>
  <c r="Z3" i="69"/>
  <c r="Y3" i="69"/>
  <c r="X3" i="69"/>
  <c r="W3" i="69"/>
  <c r="V3" i="69"/>
  <c r="U3" i="69"/>
  <c r="T3" i="69"/>
  <c r="S3" i="69"/>
  <c r="R3" i="69"/>
  <c r="Q3" i="69"/>
  <c r="P3" i="69"/>
  <c r="O3" i="69"/>
  <c r="N3" i="69"/>
  <c r="M3" i="69"/>
  <c r="L3" i="69"/>
  <c r="K3" i="69"/>
  <c r="J3" i="69"/>
  <c r="I3" i="69"/>
  <c r="H3" i="69"/>
  <c r="G3" i="69"/>
  <c r="F3" i="69"/>
  <c r="E3" i="69"/>
  <c r="D3" i="69"/>
  <c r="C3" i="69"/>
  <c r="B3" i="69"/>
  <c r="AQ2" i="69"/>
  <c r="AP2" i="69"/>
  <c r="AO2" i="69"/>
  <c r="AN2" i="69"/>
  <c r="AM2" i="69"/>
  <c r="AL2" i="69"/>
  <c r="AK2" i="69"/>
  <c r="AJ2" i="69"/>
  <c r="AI2" i="69"/>
  <c r="AH2" i="69"/>
  <c r="AG2" i="69"/>
  <c r="AF2" i="69"/>
  <c r="AE2" i="69"/>
  <c r="AD2" i="69"/>
  <c r="AC2" i="69"/>
  <c r="AB2" i="69"/>
  <c r="AA2" i="69"/>
  <c r="Z2" i="69"/>
  <c r="Y2" i="69"/>
  <c r="X2" i="69"/>
  <c r="W2" i="69"/>
  <c r="V2" i="69"/>
  <c r="U2" i="69"/>
  <c r="T2" i="69"/>
  <c r="S2" i="69"/>
  <c r="R2" i="69"/>
  <c r="Q2" i="69"/>
  <c r="P2" i="69"/>
  <c r="O2" i="69"/>
  <c r="N2" i="69"/>
  <c r="M2" i="69"/>
  <c r="L2" i="69"/>
  <c r="K2" i="69"/>
  <c r="J2" i="69"/>
  <c r="I2" i="69"/>
  <c r="H2" i="69"/>
  <c r="G2" i="69"/>
  <c r="F2" i="69"/>
  <c r="E2" i="69"/>
  <c r="D2" i="69"/>
  <c r="C2" i="69"/>
  <c r="G10" i="47" l="1"/>
  <c r="I44" i="47" l="1"/>
  <c r="J44" i="47"/>
  <c r="H44" i="47"/>
  <c r="G44" i="47"/>
  <c r="F44" i="47"/>
  <c r="E44" i="47"/>
  <c r="D44" i="47"/>
  <c r="A44" i="47"/>
  <c r="G67" i="47" l="1"/>
  <c r="G43" i="47"/>
  <c r="H43" i="47"/>
  <c r="I43" i="47"/>
  <c r="J43" i="47"/>
  <c r="F43" i="47"/>
  <c r="J76" i="47" l="1"/>
  <c r="L42" i="71" s="1"/>
  <c r="J82" i="47"/>
  <c r="J80" i="47"/>
  <c r="J78" i="47"/>
  <c r="J77" i="47"/>
  <c r="J74" i="47"/>
  <c r="J73" i="47"/>
  <c r="J72" i="47"/>
  <c r="J71" i="47"/>
  <c r="J70" i="47"/>
  <c r="J69" i="47"/>
  <c r="J68" i="47"/>
  <c r="J67" i="47"/>
  <c r="J66" i="47"/>
  <c r="J64" i="47"/>
  <c r="J58" i="47"/>
  <c r="J57" i="47"/>
  <c r="J56" i="47"/>
  <c r="J55" i="47"/>
  <c r="J54" i="47"/>
  <c r="J52" i="47"/>
  <c r="J51" i="47"/>
  <c r="J50" i="47"/>
  <c r="H12" i="71" s="1"/>
  <c r="J49" i="47"/>
  <c r="J48" i="47"/>
  <c r="H80" i="71" s="1"/>
  <c r="J47" i="47"/>
  <c r="J46" i="47"/>
  <c r="J45" i="47"/>
  <c r="J41" i="47"/>
  <c r="J39" i="47"/>
  <c r="J38" i="47"/>
  <c r="J37" i="47"/>
  <c r="J36" i="47"/>
  <c r="J35" i="47"/>
  <c r="J34" i="47"/>
  <c r="J33" i="47"/>
  <c r="J32" i="47"/>
  <c r="J31" i="47"/>
  <c r="J30" i="47"/>
  <c r="J29" i="47"/>
  <c r="K42" i="71" s="1"/>
  <c r="J28" i="47"/>
  <c r="J27" i="47"/>
  <c r="J26" i="47"/>
  <c r="J25" i="47"/>
  <c r="J23" i="47"/>
  <c r="J22" i="47"/>
  <c r="J21" i="47"/>
  <c r="J20" i="47"/>
  <c r="J19" i="47"/>
  <c r="J17" i="47"/>
  <c r="J16" i="47"/>
  <c r="J15" i="47"/>
  <c r="J14" i="47"/>
  <c r="J12" i="47"/>
  <c r="J11" i="47"/>
  <c r="J10" i="47"/>
  <c r="H9" i="47"/>
  <c r="I62" i="47"/>
  <c r="H62" i="47"/>
  <c r="I53" i="47"/>
  <c r="H53" i="47"/>
  <c r="I40" i="47"/>
  <c r="H40" i="47"/>
  <c r="I13" i="47"/>
  <c r="H13" i="47"/>
  <c r="I9" i="47"/>
  <c r="G46" i="47"/>
  <c r="G11" i="47"/>
  <c r="G12" i="47"/>
  <c r="G19" i="71" s="1"/>
  <c r="G14" i="47"/>
  <c r="G23" i="71" s="1"/>
  <c r="G15" i="47"/>
  <c r="G16" i="47"/>
  <c r="G17" i="47"/>
  <c r="G19" i="47"/>
  <c r="G20" i="47"/>
  <c r="G21" i="47"/>
  <c r="G22" i="47"/>
  <c r="G23" i="47"/>
  <c r="G25" i="47"/>
  <c r="G26" i="47"/>
  <c r="G27" i="47"/>
  <c r="G28" i="47"/>
  <c r="G29" i="47"/>
  <c r="G42" i="71" s="1"/>
  <c r="G30" i="47"/>
  <c r="G31" i="47"/>
  <c r="G32" i="47"/>
  <c r="G33" i="47"/>
  <c r="G34" i="47"/>
  <c r="G35" i="47"/>
  <c r="G36" i="47"/>
  <c r="G37" i="47"/>
  <c r="G38" i="47"/>
  <c r="G39" i="47"/>
  <c r="G41" i="47"/>
  <c r="G45" i="47"/>
  <c r="G47" i="47"/>
  <c r="G48" i="47"/>
  <c r="G80" i="71" s="1"/>
  <c r="G49" i="47"/>
  <c r="G50" i="47"/>
  <c r="G12" i="71" s="1"/>
  <c r="G51" i="47"/>
  <c r="G52" i="47"/>
  <c r="G54" i="47"/>
  <c r="G55" i="47"/>
  <c r="G56" i="47"/>
  <c r="G57" i="47"/>
  <c r="G58" i="47"/>
  <c r="G64" i="47"/>
  <c r="G66" i="47"/>
  <c r="G68" i="47"/>
  <c r="G69" i="47"/>
  <c r="G70" i="47"/>
  <c r="G71" i="47"/>
  <c r="G72" i="47"/>
  <c r="G73" i="47"/>
  <c r="G74" i="47"/>
  <c r="G77" i="47"/>
  <c r="G78" i="47"/>
  <c r="G80" i="47"/>
  <c r="G82" i="47"/>
  <c r="G76" i="47"/>
  <c r="I42" i="71" s="1"/>
  <c r="F62" i="47"/>
  <c r="E53" i="47"/>
  <c r="E83" i="47" s="1"/>
  <c r="F53" i="47"/>
  <c r="E40" i="47"/>
  <c r="F40" i="47"/>
  <c r="E13" i="47"/>
  <c r="F13" i="47"/>
  <c r="E9" i="47"/>
  <c r="F9" i="47"/>
  <c r="K88" i="71" l="1"/>
  <c r="H88" i="71"/>
  <c r="G81" i="47"/>
  <c r="G21" i="71"/>
  <c r="J81" i="47"/>
  <c r="J53" i="47"/>
  <c r="J12" i="71"/>
  <c r="G92" i="71"/>
  <c r="I92" i="71" s="1"/>
  <c r="F16" i="71"/>
  <c r="K10" i="71"/>
  <c r="J92" i="71"/>
  <c r="H85" i="71" s="1"/>
  <c r="F91" i="71" s="1"/>
  <c r="H15" i="71"/>
  <c r="G15" i="71"/>
  <c r="G16" i="71" s="1"/>
  <c r="F14" i="71" s="1"/>
  <c r="M80" i="71"/>
  <c r="P80" i="71" s="1"/>
  <c r="I19" i="71"/>
  <c r="J40" i="47"/>
  <c r="G53" i="47"/>
  <c r="G62" i="47"/>
  <c r="I24" i="47"/>
  <c r="I42" i="47" s="1"/>
  <c r="J13" i="47"/>
  <c r="E24" i="47"/>
  <c r="E42" i="47" s="1"/>
  <c r="I83" i="47"/>
  <c r="G40" i="47"/>
  <c r="G9" i="47"/>
  <c r="J62" i="47"/>
  <c r="G10" i="71"/>
  <c r="H23" i="71"/>
  <c r="H21" i="71"/>
  <c r="K19" i="71"/>
  <c r="R80" i="71"/>
  <c r="G13" i="47"/>
  <c r="H24" i="47"/>
  <c r="J9" i="47"/>
  <c r="H83" i="47"/>
  <c r="F83" i="47"/>
  <c r="F24" i="47"/>
  <c r="F42" i="47" s="1"/>
  <c r="J83" i="47" l="1"/>
  <c r="J7" i="71" s="1"/>
  <c r="J88" i="71"/>
  <c r="G85" i="71" s="1"/>
  <c r="F87" i="71" s="1"/>
  <c r="G88" i="71"/>
  <c r="I88" i="71" s="1"/>
  <c r="S80" i="71"/>
  <c r="H82" i="71" s="1"/>
  <c r="L92" i="71"/>
  <c r="G42" i="47"/>
  <c r="G7" i="71" s="1"/>
  <c r="J81" i="71"/>
  <c r="G83" i="47"/>
  <c r="H7" i="71" s="1"/>
  <c r="I21" i="71"/>
  <c r="H42" i="47"/>
  <c r="J42" i="47" s="1"/>
  <c r="I7" i="71" s="1"/>
  <c r="J24" i="47"/>
  <c r="G24" i="47"/>
  <c r="L88" i="71" l="1"/>
  <c r="F8" i="71"/>
  <c r="I82" i="71"/>
  <c r="F6" i="71"/>
  <c r="J8" i="42" l="1"/>
  <c r="I8" i="42"/>
  <c r="H8" i="42"/>
  <c r="K8" i="42" l="1"/>
  <c r="D1" i="47" l="1"/>
  <c r="B4" i="69" l="1"/>
  <c r="B5" i="69" s="1"/>
  <c r="H12" i="40" l="1"/>
  <c r="H42" i="71" s="1"/>
  <c r="H36" i="71" l="1"/>
  <c r="F35" i="71" s="1"/>
  <c r="G34" i="71"/>
  <c r="F34" i="71" s="1"/>
  <c r="G45" i="71"/>
  <c r="F4" i="69" l="1"/>
  <c r="F5" i="69" s="1"/>
  <c r="P4" i="69"/>
  <c r="P5" i="69" s="1"/>
  <c r="H4" i="69"/>
  <c r="H5" i="69" s="1"/>
  <c r="D4" i="69"/>
  <c r="D5" i="69" s="1"/>
  <c r="E4" i="69"/>
  <c r="E5" i="69" s="1"/>
  <c r="L4" i="69"/>
  <c r="L5" i="69" s="1"/>
  <c r="C4" i="69"/>
  <c r="C5" i="69" s="1"/>
  <c r="AF4" i="69"/>
  <c r="AF5" i="69" s="1"/>
  <c r="AG4" i="69"/>
  <c r="AG5" i="69" s="1"/>
  <c r="AA4" i="69"/>
  <c r="AA5" i="69" s="1"/>
  <c r="AH4" i="69"/>
  <c r="AH5" i="69" s="1"/>
  <c r="Z4" i="69"/>
  <c r="Z5" i="69" s="1"/>
  <c r="T4" i="69"/>
  <c r="T5" i="69" s="1"/>
  <c r="I15" i="40" l="1"/>
  <c r="I11" i="40" l="1"/>
  <c r="I14" i="40"/>
  <c r="G11" i="40"/>
  <c r="G14" i="40"/>
  <c r="K12" i="71"/>
  <c r="G38" i="71"/>
  <c r="G40" i="71" s="1"/>
  <c r="F40" i="40"/>
  <c r="M40" i="40"/>
  <c r="L40" i="40"/>
  <c r="G40" i="40"/>
  <c r="H40" i="40"/>
  <c r="H39" i="40" s="1"/>
  <c r="I40" i="40"/>
  <c r="I39" i="40" s="1"/>
  <c r="L84" i="71" l="1"/>
  <c r="E40" i="40"/>
  <c r="I10" i="71" s="1"/>
  <c r="D40" i="40"/>
  <c r="D43" i="47"/>
  <c r="I19" i="40"/>
  <c r="I8" i="40"/>
  <c r="G8" i="40"/>
  <c r="J25" i="71"/>
  <c r="H29" i="38"/>
  <c r="E101" i="40"/>
  <c r="H62" i="40" l="1"/>
  <c r="I62" i="40"/>
  <c r="B95" i="40" l="1"/>
  <c r="F20" i="42" l="1"/>
  <c r="F28" i="42" s="1"/>
  <c r="H58" i="71" l="1"/>
  <c r="F57" i="71" s="1"/>
  <c r="C1" i="17"/>
  <c r="D1" i="15"/>
  <c r="AI4" i="69" l="1"/>
  <c r="AI5" i="69" s="1"/>
  <c r="F54" i="40"/>
  <c r="F39" i="40" s="1"/>
  <c r="F35" i="40" s="1"/>
  <c r="G54" i="40"/>
  <c r="G83" i="40"/>
  <c r="A3" i="40"/>
  <c r="A3" i="42" s="1"/>
  <c r="A57" i="38"/>
  <c r="G39" i="40" l="1"/>
  <c r="G62" i="40"/>
  <c r="M20" i="42"/>
  <c r="G20" i="42"/>
  <c r="D55" i="38"/>
  <c r="A5" i="42"/>
  <c r="D1" i="42"/>
  <c r="D1" i="40"/>
  <c r="O75" i="38"/>
  <c r="L75" i="38"/>
  <c r="K75" i="38"/>
  <c r="J75" i="38"/>
  <c r="I75" i="38"/>
  <c r="H75" i="38"/>
  <c r="F75" i="38"/>
  <c r="O70" i="38"/>
  <c r="L70" i="38"/>
  <c r="K70" i="38"/>
  <c r="J70" i="38"/>
  <c r="I70" i="38"/>
  <c r="H70" i="38"/>
  <c r="F70" i="38"/>
  <c r="O66" i="38"/>
  <c r="O65" i="38" s="1"/>
  <c r="L66" i="38"/>
  <c r="K66" i="38"/>
  <c r="J66" i="38"/>
  <c r="I66" i="38"/>
  <c r="H66" i="38"/>
  <c r="F66" i="38"/>
  <c r="L20" i="42"/>
  <c r="K20" i="42"/>
  <c r="J28" i="42" s="1"/>
  <c r="J20" i="42"/>
  <c r="I28" i="42" s="1"/>
  <c r="I20" i="42"/>
  <c r="H28" i="42" s="1"/>
  <c r="H20" i="42"/>
  <c r="L8" i="42"/>
  <c r="L62" i="40"/>
  <c r="L83" i="40"/>
  <c r="M83" i="40"/>
  <c r="H35" i="40"/>
  <c r="G93" i="40"/>
  <c r="G94" i="40"/>
  <c r="G95" i="40"/>
  <c r="G97" i="40"/>
  <c r="G98" i="40"/>
  <c r="G99" i="40"/>
  <c r="G101" i="40"/>
  <c r="K28" i="42" l="1"/>
  <c r="J65" i="38"/>
  <c r="K65" i="38"/>
  <c r="L65" i="38"/>
  <c r="G70" i="38"/>
  <c r="G28" i="42"/>
  <c r="G35" i="40"/>
  <c r="H65" i="38"/>
  <c r="G75" i="38"/>
  <c r="I65" i="38"/>
  <c r="G66" i="38"/>
  <c r="H74" i="71"/>
  <c r="J62" i="71"/>
  <c r="F61" i="71" s="1"/>
  <c r="H64" i="71"/>
  <c r="F63" i="71" s="1"/>
  <c r="J72" i="71"/>
  <c r="F71" i="71" s="1"/>
  <c r="H66" i="71"/>
  <c r="F65" i="71" s="1"/>
  <c r="H68" i="71"/>
  <c r="F67" i="71" s="1"/>
  <c r="J60" i="71"/>
  <c r="J70" i="71"/>
  <c r="F69" i="71" s="1"/>
  <c r="D67" i="40"/>
  <c r="E20" i="42"/>
  <c r="E28" i="42" s="1"/>
  <c r="F65" i="38"/>
  <c r="E94" i="40"/>
  <c r="J54" i="40"/>
  <c r="J39" i="40" s="1"/>
  <c r="K54" i="40"/>
  <c r="L54" i="40"/>
  <c r="M39" i="40"/>
  <c r="I35" i="40"/>
  <c r="J62" i="40"/>
  <c r="D62" i="40" s="1"/>
  <c r="K62" i="40"/>
  <c r="M62" i="40"/>
  <c r="H83" i="40"/>
  <c r="I83" i="40"/>
  <c r="J83" i="40"/>
  <c r="D83" i="40" s="1"/>
  <c r="K83" i="40"/>
  <c r="E83" i="40" s="1"/>
  <c r="J21" i="71" s="1"/>
  <c r="K21" i="71" s="1"/>
  <c r="F20" i="71" s="1"/>
  <c r="E97" i="40"/>
  <c r="F29" i="38"/>
  <c r="I29" i="38"/>
  <c r="J29" i="38"/>
  <c r="K29" i="38"/>
  <c r="L29" i="38"/>
  <c r="O29" i="38"/>
  <c r="E62" i="40" l="1"/>
  <c r="K39" i="40"/>
  <c r="E39" i="40" s="1"/>
  <c r="G92" i="40" s="1"/>
  <c r="E54" i="40"/>
  <c r="G29" i="38"/>
  <c r="G65" i="38"/>
  <c r="M94" i="71"/>
  <c r="M35" i="40"/>
  <c r="F59" i="71"/>
  <c r="AO4" i="69"/>
  <c r="AO5" i="69" s="1"/>
  <c r="AP4" i="69"/>
  <c r="AP5" i="69" s="1"/>
  <c r="AJ4" i="69"/>
  <c r="AJ5" i="69" s="1"/>
  <c r="AM4" i="69"/>
  <c r="AM5" i="69" s="1"/>
  <c r="AN4" i="69"/>
  <c r="AN5" i="69" s="1"/>
  <c r="AK4" i="69"/>
  <c r="AK5" i="69" s="1"/>
  <c r="L39" i="40"/>
  <c r="L35" i="40" s="1"/>
  <c r="K58" i="71"/>
  <c r="G74" i="71"/>
  <c r="F73" i="71" s="1"/>
  <c r="H50" i="71"/>
  <c r="I50" i="71" s="1"/>
  <c r="F49" i="71" s="1"/>
  <c r="I23" i="71"/>
  <c r="F22" i="71" s="1"/>
  <c r="G47" i="71"/>
  <c r="D54" i="40"/>
  <c r="G28" i="40"/>
  <c r="E95" i="40"/>
  <c r="E99" i="40"/>
  <c r="E98" i="40"/>
  <c r="E93" i="40"/>
  <c r="E96" i="40"/>
  <c r="O28" i="38"/>
  <c r="I28" i="38"/>
  <c r="J28" i="38"/>
  <c r="K28" i="38"/>
  <c r="L28" i="38"/>
  <c r="H28" i="38"/>
  <c r="J15" i="40" l="1"/>
  <c r="K15" i="40"/>
  <c r="AA19" i="74"/>
  <c r="N94" i="71" s="1"/>
  <c r="F93" i="71" s="1"/>
  <c r="G84" i="71"/>
  <c r="F97" i="71" s="1"/>
  <c r="K84" i="71"/>
  <c r="M84" i="71" s="1"/>
  <c r="H29" i="71"/>
  <c r="G28" i="38"/>
  <c r="I25" i="71"/>
  <c r="D39" i="40"/>
  <c r="E92" i="40" s="1"/>
  <c r="AL4" i="69"/>
  <c r="AL5" i="69" s="1"/>
  <c r="AQ4" i="69"/>
  <c r="AQ5" i="69" s="1"/>
  <c r="H19" i="71"/>
  <c r="J19" i="71" s="1"/>
  <c r="L19" i="71" s="1"/>
  <c r="F18" i="71" s="1"/>
  <c r="H47" i="71"/>
  <c r="F46" i="71" s="1"/>
  <c r="H27" i="71"/>
  <c r="K27" i="71"/>
  <c r="L27" i="71" s="1"/>
  <c r="I29" i="71"/>
  <c r="K29" i="71"/>
  <c r="L29" i="71" s="1"/>
  <c r="H45" i="71"/>
  <c r="F44" i="71" s="1"/>
  <c r="K35" i="40"/>
  <c r="E35" i="40" s="1"/>
  <c r="AE4" i="69"/>
  <c r="AE5" i="69" s="1"/>
  <c r="G96" i="40"/>
  <c r="F75" i="71" s="1"/>
  <c r="J35" i="40"/>
  <c r="G100" i="40"/>
  <c r="F28" i="38"/>
  <c r="Z19" i="74" l="1"/>
  <c r="M10" i="71" s="1"/>
  <c r="I84" i="71"/>
  <c r="D35" i="40"/>
  <c r="D34" i="40" s="1"/>
  <c r="E34" i="40"/>
  <c r="H38" i="71" s="1"/>
  <c r="I38" i="71" s="1"/>
  <c r="F37" i="71" s="1"/>
  <c r="AC4" i="69"/>
  <c r="AC5" i="69" s="1"/>
  <c r="R4" i="69"/>
  <c r="R5" i="69" s="1"/>
  <c r="Q4" i="69"/>
  <c r="Q5" i="69" s="1"/>
  <c r="AD4" i="69"/>
  <c r="AD5" i="69" s="1"/>
  <c r="I27" i="71"/>
  <c r="H10" i="71"/>
  <c r="J10" i="71" s="1"/>
  <c r="S4" i="69"/>
  <c r="S5" i="69" s="1"/>
  <c r="G91" i="40"/>
  <c r="E100" i="40"/>
  <c r="E91" i="40" s="1"/>
  <c r="F91" i="40" s="1"/>
  <c r="L10" i="71" l="1"/>
  <c r="F9" i="71" s="1"/>
  <c r="V4" i="69"/>
  <c r="V5" i="69" s="1"/>
  <c r="U4" i="69"/>
  <c r="U5" i="69" s="1"/>
  <c r="W4" i="69"/>
  <c r="W5" i="69" s="1"/>
  <c r="Y4" i="69"/>
  <c r="Y5" i="69" s="1"/>
  <c r="H40" i="71"/>
  <c r="I40" i="71" s="1"/>
  <c r="F39" i="71" s="1"/>
  <c r="L12" i="71"/>
  <c r="M12" i="71" s="1"/>
  <c r="F11" i="71" s="1"/>
  <c r="I4" i="69"/>
  <c r="I5" i="69" s="1"/>
  <c r="H91" i="40"/>
  <c r="H94" i="40"/>
  <c r="H101" i="40"/>
  <c r="H100" i="40"/>
  <c r="H95" i="40"/>
  <c r="H93" i="40"/>
  <c r="H96" i="40"/>
  <c r="H92" i="40"/>
  <c r="I28" i="40"/>
  <c r="I27" i="40"/>
  <c r="I29" i="40"/>
  <c r="F95" i="40"/>
  <c r="F92" i="40"/>
  <c r="F96" i="40"/>
  <c r="F94" i="40"/>
  <c r="F101" i="40"/>
  <c r="F93" i="40"/>
  <c r="F100" i="40"/>
  <c r="G29" i="40"/>
  <c r="G26" i="40" s="1"/>
  <c r="N4" i="69" l="1"/>
  <c r="N5" i="69" s="1"/>
  <c r="B7" i="69" s="1"/>
  <c r="E8" i="69" s="1"/>
  <c r="J4" i="69"/>
  <c r="J5" i="69" s="1"/>
  <c r="G4" i="69"/>
  <c r="G5" i="69" s="1"/>
  <c r="I26" i="40"/>
  <c r="K4" i="69" l="1"/>
  <c r="K5" i="69" s="1"/>
  <c r="O4" i="69"/>
  <c r="O5" i="69" s="1"/>
  <c r="M4" i="69"/>
  <c r="M5" i="69" s="1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9" i="15" l="1"/>
  <c r="H19" i="38" s="1"/>
  <c r="F12" i="40"/>
  <c r="G12" i="40" s="1"/>
  <c r="J42" i="71" l="1"/>
  <c r="M42" i="71" s="1"/>
  <c r="G19" i="38"/>
  <c r="H25" i="71" s="1"/>
  <c r="N42" i="71"/>
  <c r="O42" i="71"/>
  <c r="G30" i="71"/>
  <c r="F30" i="71" s="1"/>
  <c r="I12" i="40"/>
  <c r="K25" i="71" l="1"/>
  <c r="F25" i="71" s="1"/>
  <c r="F28" i="71" s="1"/>
  <c r="F77" i="71" s="1"/>
  <c r="X4" i="69"/>
  <c r="X5" i="69" s="1"/>
  <c r="F41" i="71"/>
  <c r="F79" i="71" l="1"/>
  <c r="F81" i="71" s="1"/>
  <c r="F83" i="71" s="1"/>
  <c r="F26" i="71"/>
  <c r="AB4" i="69"/>
  <c r="AB5" i="69" s="1"/>
  <c r="B10" i="69"/>
  <c r="B9" i="69"/>
  <c r="B8" i="6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Ирина Романова</author>
    <author>Загрядська Олена Валеріївна</author>
  </authors>
  <commentList>
    <comment ref="C77" authorId="0" shapeId="0" xr:uid="{00000000-0006-0000-0000-000001000000}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ahoma"/>
            <family val="2"/>
            <charset val="204"/>
          </rPr>
          <t xml:space="preserve">
За умови що  № 7А, №7, №8 без помилок</t>
        </r>
      </text>
    </comment>
    <comment ref="C79" authorId="1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 xml:space="preserve">за умови, що №Д32_35 та 32 без помилок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81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 xml:space="preserve">якщо перевірки №32,№33 без помилок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83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якщо перевірка №
34 без помилок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93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 xml:space="preserve">за умови перевірки №37 без помилок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Загрядська Олена Валеріївна</author>
  </authors>
  <commentList>
    <comment ref="F17" authorId="0" shapeId="0" xr:uid="{00000000-0006-0000-0400-000001000000}">
      <text>
        <r>
          <rPr>
            <sz val="11"/>
            <color indexed="81"/>
            <rFont val="Tahoma"/>
            <family val="2"/>
            <charset val="204"/>
          </rPr>
          <t>Головний лікар та його заступники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8" authorId="0" shapeId="0" xr:uid="{00000000-0006-0000-0400-000002000000}">
      <text>
        <r>
          <rPr>
            <sz val="9"/>
            <color indexed="81"/>
            <rFont val="Tahoma"/>
            <family val="2"/>
            <charset val="204"/>
          </rPr>
          <t xml:space="preserve">
г</t>
        </r>
        <r>
          <rPr>
            <sz val="16"/>
            <color indexed="81"/>
            <rFont val="Tahoma"/>
            <family val="2"/>
            <charset val="204"/>
          </rPr>
          <t>оловний бухгалтер, нач відділу кадрів
завгосп, головний інженер, головний статистик…..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18" authorId="0" shapeId="0" xr:uid="{00000000-0006-0000-0400-000003000000}">
      <text>
        <r>
          <rPr>
            <sz val="16"/>
            <color indexed="81"/>
            <rFont val="Tahoma"/>
            <family val="2"/>
            <charset val="204"/>
          </rPr>
          <t>головна медична сестра, керівники ФАП та амбулаторій, завідувачі відділень...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8" authorId="0" shapeId="0" xr:uid="{00000000-0006-0000-0400-000004000000}">
      <text>
        <r>
          <rPr>
            <sz val="9"/>
            <color indexed="81"/>
            <rFont val="Tahoma"/>
            <family val="2"/>
            <charset val="204"/>
          </rPr>
          <t xml:space="preserve">психолог, логопед, біолог, реабілітолог…
</t>
        </r>
      </text>
    </comment>
  </commentList>
</comments>
</file>

<file path=xl/sharedStrings.xml><?xml version="1.0" encoding="utf-8"?>
<sst xmlns="http://schemas.openxmlformats.org/spreadsheetml/2006/main" count="1368" uniqueCount="871">
  <si>
    <t>Ідентифікаційний код ЄДРПОУ</t>
  </si>
  <si>
    <t>код КОПФГ</t>
  </si>
  <si>
    <t>Термін подання</t>
  </si>
  <si>
    <t>№ 1-НС (щоквартальна)</t>
  </si>
  <si>
    <t>Повне найменування суб’єкта господарювання</t>
  </si>
  <si>
    <t>Електронна пошта</t>
  </si>
  <si>
    <t>№ з/п</t>
  </si>
  <si>
    <t>Найменування показника</t>
  </si>
  <si>
    <t>Звітний період</t>
  </si>
  <si>
    <t>1</t>
  </si>
  <si>
    <t>Від надання медичних та немедичних послуг за кошти фізичних і юридичних осіб</t>
  </si>
  <si>
    <t>Від отримання страхових виплат</t>
  </si>
  <si>
    <t>Від надання майна в оренду</t>
  </si>
  <si>
    <t>Благодійна допомога</t>
  </si>
  <si>
    <t xml:space="preserve">Інші надходження </t>
  </si>
  <si>
    <t>Лікарі</t>
  </si>
  <si>
    <t>Середній медичний персонал</t>
  </si>
  <si>
    <t>Молодший медичний персонал</t>
  </si>
  <si>
    <t>Нарахування на оплату праці</t>
  </si>
  <si>
    <t>Матеріальні витрати</t>
  </si>
  <si>
    <t>Лікарські засоби</t>
  </si>
  <si>
    <t xml:space="preserve">Продукти харчування </t>
  </si>
  <si>
    <t>Будівельні матеріали</t>
  </si>
  <si>
    <t>Паливно-мастильні матеріали</t>
  </si>
  <si>
    <t>М’який інвентар</t>
  </si>
  <si>
    <t>Господарські матеріали</t>
  </si>
  <si>
    <t>Предмети, матеріали та інвентар</t>
  </si>
  <si>
    <t>Поточний ремонт медичного обладнання</t>
  </si>
  <si>
    <t>Поточний ремонт приміщень</t>
  </si>
  <si>
    <t>Інші операційні витрати</t>
  </si>
  <si>
    <t>Видатки на відрядження</t>
  </si>
  <si>
    <t>Підготовка (перепідготовка) кадрів  та підвищення кваліфікації</t>
  </si>
  <si>
    <t>Зовнішні послуги з медичної допомоги</t>
  </si>
  <si>
    <t>Зв'язок, інтернет</t>
  </si>
  <si>
    <t xml:space="preserve">Інші послуги </t>
  </si>
  <si>
    <t xml:space="preserve">Керівники </t>
  </si>
  <si>
    <t>Керівники структурних підрозділів</t>
  </si>
  <si>
    <t>Соціальне забезпечення</t>
  </si>
  <si>
    <t>Амортизація</t>
  </si>
  <si>
    <t>осіб</t>
  </si>
  <si>
    <t>№з/п</t>
  </si>
  <si>
    <t>Середня кількість працівників, всього, у тому числі</t>
  </si>
  <si>
    <t>середня кількість зовнішніх сумісників</t>
  </si>
  <si>
    <t>середня кількість працюючих за цивільно-правовими договорами</t>
  </si>
  <si>
    <t>Пожежна охорона</t>
  </si>
  <si>
    <t>Інші матеріальні витрати</t>
  </si>
  <si>
    <t>Податки</t>
  </si>
  <si>
    <t>Банківське обслуговування</t>
  </si>
  <si>
    <t>Інші витрати</t>
  </si>
  <si>
    <t>Запаси</t>
  </si>
  <si>
    <t>Купівельні напівфабрикати та комплектуючі вироби</t>
  </si>
  <si>
    <t>Тара й тарні матеріали</t>
  </si>
  <si>
    <t>Матеріали, передані в переробку</t>
  </si>
  <si>
    <t>Запасні частини</t>
  </si>
  <si>
    <t>Інші матеріали</t>
  </si>
  <si>
    <t>Доходи майбутніх періодів</t>
  </si>
  <si>
    <t>Охорона</t>
  </si>
  <si>
    <t>Неопераційні витрати</t>
  </si>
  <si>
    <t>Код рядка</t>
  </si>
  <si>
    <t xml:space="preserve"> 2.1</t>
  </si>
  <si>
    <t xml:space="preserve"> 2.2</t>
  </si>
  <si>
    <t xml:space="preserve"> 2.1.1</t>
  </si>
  <si>
    <t xml:space="preserve"> 2.1.2</t>
  </si>
  <si>
    <t xml:space="preserve"> 2.1.3</t>
  </si>
  <si>
    <t xml:space="preserve"> 2.3</t>
  </si>
  <si>
    <t xml:space="preserve"> 2.4</t>
  </si>
  <si>
    <t xml:space="preserve"> 2.5</t>
  </si>
  <si>
    <t xml:space="preserve"> 2.6</t>
  </si>
  <si>
    <t xml:space="preserve"> 2.7</t>
  </si>
  <si>
    <t xml:space="preserve"> 2.8</t>
  </si>
  <si>
    <t xml:space="preserve"> 2.9</t>
  </si>
  <si>
    <t xml:space="preserve"> 3.1</t>
  </si>
  <si>
    <t xml:space="preserve"> 3.2</t>
  </si>
  <si>
    <t xml:space="preserve"> 3.3</t>
  </si>
  <si>
    <t xml:space="preserve"> 3.4</t>
  </si>
  <si>
    <t xml:space="preserve"> 3.1.1</t>
  </si>
  <si>
    <t xml:space="preserve"> 3.1.2</t>
  </si>
  <si>
    <t xml:space="preserve"> 3.1.3</t>
  </si>
  <si>
    <t xml:space="preserve"> 3.2.1</t>
  </si>
  <si>
    <t xml:space="preserve"> 3.2.2</t>
  </si>
  <si>
    <t xml:space="preserve"> 3.2.3</t>
  </si>
  <si>
    <t xml:space="preserve"> 3.4.1</t>
  </si>
  <si>
    <t xml:space="preserve"> 3.4.2</t>
  </si>
  <si>
    <t>грошові кошти</t>
  </si>
  <si>
    <t>2</t>
  </si>
  <si>
    <t xml:space="preserve"> 2.1.4</t>
  </si>
  <si>
    <t xml:space="preserve"> 2.1.5</t>
  </si>
  <si>
    <t xml:space="preserve">Місцезнаходження (юридична адреса)
______________________________________________________________________________________________________________________________________________________
№ будинку /корпусу, № квартири /офісу)
</t>
  </si>
  <si>
    <t>Адреса здійснення діяльності, щодо якої подається форма звітності (фактична адреса)</t>
  </si>
  <si>
    <t>Відповідний період минулого року</t>
  </si>
  <si>
    <t>№ 
з/п</t>
  </si>
  <si>
    <t>1.1.</t>
  </si>
  <si>
    <t>1.2.</t>
  </si>
  <si>
    <t>1.3.</t>
  </si>
  <si>
    <t>Вироби медичного призначення та допоміжні засоби слуху, зору, руху, засоби протезування для кардіології, ендопротезів, інші протези тощо</t>
  </si>
  <si>
    <t>Імунобіологічні препарати, лікувальне харчування</t>
  </si>
  <si>
    <t>номер телефону виконавця</t>
  </si>
  <si>
    <t>Дохід від реалізаціі, всього</t>
  </si>
  <si>
    <t>Аванси</t>
  </si>
  <si>
    <t>Оплати</t>
  </si>
  <si>
    <t>Актив</t>
  </si>
  <si>
    <t>На початок звітного періоду</t>
  </si>
  <si>
    <t>На кінець звітного періоду</t>
  </si>
  <si>
    <t>Нематеріальні активи</t>
  </si>
  <si>
    <t xml:space="preserve">    первісна вартість </t>
  </si>
  <si>
    <t>Незавершені капітальні інвестиції</t>
  </si>
  <si>
    <t>Основні засоби</t>
  </si>
  <si>
    <t>Інвестиційна нерухомість</t>
  </si>
  <si>
    <t>Довгострокові біологічні активи</t>
  </si>
  <si>
    <t>які обліковуються за методом участі в капіталі інших підприємств</t>
  </si>
  <si>
    <t xml:space="preserve">інші фінансові інвестиції </t>
  </si>
  <si>
    <t xml:space="preserve">Довгострокова дебіторська заборгованість </t>
  </si>
  <si>
    <t xml:space="preserve">Відстрочені податкові активи </t>
  </si>
  <si>
    <t xml:space="preserve">Інші необоротні активи </t>
  </si>
  <si>
    <t xml:space="preserve">Усього за розділом I </t>
  </si>
  <si>
    <t xml:space="preserve">Поточні біологічні активи </t>
  </si>
  <si>
    <t>Дебіторська заборгованість за продукцію, товари, роботи, послуги</t>
  </si>
  <si>
    <t xml:space="preserve">    за виданими авансами</t>
  </si>
  <si>
    <t xml:space="preserve">    з бюджетом</t>
  </si>
  <si>
    <t xml:space="preserve">    у тому числі з податку на прибуток</t>
  </si>
  <si>
    <t xml:space="preserve">Поточні фінансові інвестиції </t>
  </si>
  <si>
    <t xml:space="preserve">Гроші та їх еквіваленти </t>
  </si>
  <si>
    <t>Витрати майбутніх періодів</t>
  </si>
  <si>
    <t xml:space="preserve">Інші оборотні активи </t>
  </si>
  <si>
    <t xml:space="preserve">Усього за розділом II </t>
  </si>
  <si>
    <t>III. Необоротні активи, утримувані для продажу, та групи вибуття</t>
  </si>
  <si>
    <t xml:space="preserve">Баланс </t>
  </si>
  <si>
    <t>Пасив</t>
  </si>
  <si>
    <t>Капітал у дооцінках</t>
  </si>
  <si>
    <t xml:space="preserve">Додатковий капітал </t>
  </si>
  <si>
    <t xml:space="preserve">Резервний капітал </t>
  </si>
  <si>
    <t xml:space="preserve">Нерозподілений прибуток (непокритий збиток) </t>
  </si>
  <si>
    <t xml:space="preserve">Неоплачений капітал </t>
  </si>
  <si>
    <t xml:space="preserve">Вилучений капітал </t>
  </si>
  <si>
    <t>Усього за розділом I</t>
  </si>
  <si>
    <t>Відстрочені податкові зобов’язання</t>
  </si>
  <si>
    <t>Довгострокові кредити банків</t>
  </si>
  <si>
    <t>Інші довгострокові зобов’язання</t>
  </si>
  <si>
    <t>Довгострокові забезпечення</t>
  </si>
  <si>
    <t>Усього за розділом II</t>
  </si>
  <si>
    <t xml:space="preserve">Короткострокові кредити банків </t>
  </si>
  <si>
    <t xml:space="preserve">    довгостроковими зобов’язаннями </t>
  </si>
  <si>
    <t xml:space="preserve">    розрахунками з бюджетом</t>
  </si>
  <si>
    <t xml:space="preserve">    розрахунками зі страхування</t>
  </si>
  <si>
    <t>Поточні забезпечення</t>
  </si>
  <si>
    <t>Інші поточні зобов’язання</t>
  </si>
  <si>
    <t>Усього за розділом IІІ</t>
  </si>
  <si>
    <t xml:space="preserve">    у тому числі розрахунки з держaвними цільовими фондами</t>
  </si>
  <si>
    <t>Інша поточна дебіторська заборгованість</t>
  </si>
  <si>
    <t xml:space="preserve">    товари, роботи, послуги</t>
  </si>
  <si>
    <t>за депонентами</t>
  </si>
  <si>
    <t>за іншими виплатами</t>
  </si>
  <si>
    <t xml:space="preserve">    розрахунками з оплати праці, у тому числі</t>
  </si>
  <si>
    <t xml:space="preserve">    у тому числі за ПМГ</t>
  </si>
  <si>
    <t>Послуги з харчування</t>
  </si>
  <si>
    <t>Послуги з прання</t>
  </si>
  <si>
    <t>Інший поточний ремонт</t>
  </si>
  <si>
    <t>Поточний ремонт ліфти, оргтехніка, ПК</t>
  </si>
  <si>
    <t>ТО медобладнання</t>
  </si>
  <si>
    <t>Заробітна плата</t>
  </si>
  <si>
    <t>ТО/обслуговування ННМА (ППЗ)</t>
  </si>
  <si>
    <t>ТО ліфти, ПК, оргтехніка, телефони</t>
  </si>
  <si>
    <t>Поточний ремонт Авто</t>
  </si>
  <si>
    <t>Поточний ремонт</t>
  </si>
  <si>
    <t>Страхування</t>
  </si>
  <si>
    <t>ТО/сервісне обслуговування/поверка  НМА</t>
  </si>
  <si>
    <t xml:space="preserve"> 1.1.1.1</t>
  </si>
  <si>
    <t xml:space="preserve"> 1.</t>
  </si>
  <si>
    <t xml:space="preserve"> 1.1</t>
  </si>
  <si>
    <t xml:space="preserve"> 1.1.1</t>
  </si>
  <si>
    <t xml:space="preserve"> 1.1.1.2</t>
  </si>
  <si>
    <t xml:space="preserve"> 1.1.1.3</t>
  </si>
  <si>
    <t xml:space="preserve"> 1.1.1.4</t>
  </si>
  <si>
    <t xml:space="preserve"> 1.1.1.5</t>
  </si>
  <si>
    <t xml:space="preserve"> 1.1.1.6</t>
  </si>
  <si>
    <t xml:space="preserve"> 1.1.2</t>
  </si>
  <si>
    <t xml:space="preserve"> 1.1.3</t>
  </si>
  <si>
    <t xml:space="preserve"> 1.1.4</t>
  </si>
  <si>
    <t xml:space="preserve"> 1.1.4.1</t>
  </si>
  <si>
    <t xml:space="preserve"> 1.1.4.1.1</t>
  </si>
  <si>
    <t xml:space="preserve"> 1.1.4.1.2</t>
  </si>
  <si>
    <t xml:space="preserve"> 1.1.4.1.3</t>
  </si>
  <si>
    <t xml:space="preserve"> 1.1.4.1.4</t>
  </si>
  <si>
    <t>Медикаменти та перев'язувальні матеріали</t>
  </si>
  <si>
    <t xml:space="preserve"> 1.1.4.2</t>
  </si>
  <si>
    <t xml:space="preserve"> 1.1.4.3</t>
  </si>
  <si>
    <t xml:space="preserve"> 1.1.4.4</t>
  </si>
  <si>
    <t xml:space="preserve"> 1.1.4.5</t>
  </si>
  <si>
    <t xml:space="preserve"> 1.1.4.6</t>
  </si>
  <si>
    <t xml:space="preserve"> 1.1.4.7</t>
  </si>
  <si>
    <t xml:space="preserve"> 1.1.4.8</t>
  </si>
  <si>
    <t xml:space="preserve"> 1.1.4.10</t>
  </si>
  <si>
    <t xml:space="preserve"> 1.1.4.11</t>
  </si>
  <si>
    <t xml:space="preserve"> 1.1.4.12</t>
  </si>
  <si>
    <t xml:space="preserve"> 1.1.5</t>
  </si>
  <si>
    <t xml:space="preserve"> 1.2</t>
  </si>
  <si>
    <t>Статті витрат</t>
  </si>
  <si>
    <t>Поточний ремогт ННМА (ППЗ)</t>
  </si>
  <si>
    <t>https://zakon.rada.gov.ua/laws/show/z1442-05</t>
  </si>
  <si>
    <t xml:space="preserve">З обласного, районного та бюджету місцевого самоврядування </t>
  </si>
  <si>
    <t>Матеріальні витрати </t>
  </si>
  <si>
    <t>Витрати на оплату праці </t>
  </si>
  <si>
    <t>Відрахування на соціальні заходи </t>
  </si>
  <si>
    <t>Амортизація </t>
  </si>
  <si>
    <t>Амортизація основних засобів </t>
  </si>
  <si>
    <t>Амортизація інших необоротних матеріальних активів </t>
  </si>
  <si>
    <t>Амортизація нематеріальних активів </t>
  </si>
  <si>
    <t>Інші операційні витрати </t>
  </si>
  <si>
    <t>Надходження, всього</t>
  </si>
  <si>
    <t>Сировина й матеріали, у тому числі</t>
  </si>
  <si>
    <t xml:space="preserve">Модернізація, модифікація (добудова, реконструкція) </t>
  </si>
  <si>
    <t>Капітальний ремонт</t>
  </si>
  <si>
    <t>Придбання (виготовлення) основних засобів</t>
  </si>
  <si>
    <t>Модернізація, модифікація основних засобів</t>
  </si>
  <si>
    <t>Капітальний ремонт основних засобів</t>
  </si>
  <si>
    <t>Придбання (виготовлення) інших необоротних матеріальних активів</t>
  </si>
  <si>
    <t>Придбання (створення) необоротних нематеріальних активів</t>
  </si>
  <si>
    <t>Модернізація, модифікація  ННМА</t>
  </si>
  <si>
    <t>З державного бюджету (в т.ч. централізовані закупівлі, тощо)</t>
  </si>
  <si>
    <t>Подають</t>
  </si>
  <si>
    <t>Готової продукції</t>
  </si>
  <si>
    <t>Товарів </t>
  </si>
  <si>
    <t>Оплата комунальних послуг та інших  енергоносіїв  (тепло, електроенергія, вода, інше)</t>
  </si>
  <si>
    <t>4.1.</t>
  </si>
  <si>
    <t>4.1.1.</t>
  </si>
  <si>
    <t>4.1.2.</t>
  </si>
  <si>
    <t>4.1.3.</t>
  </si>
  <si>
    <t>4.1.3.1.</t>
  </si>
  <si>
    <t>Роботи та послуги (з додатка Доходи ПМГ)</t>
  </si>
  <si>
    <t>Відрахування з доходу</t>
  </si>
  <si>
    <t>4.1.4.</t>
  </si>
  <si>
    <t>Витрати за елементами, всього, у тому числі </t>
  </si>
  <si>
    <t xml:space="preserve">номер телефону керівника (власника) та/або особи, відповідальної за достовірність наданої інформації                                                                                     </t>
  </si>
  <si>
    <t xml:space="preserve">ПІБ керівника (власника) та/або особи, відповідальної за достовірність наданої інформації     </t>
  </si>
  <si>
    <t xml:space="preserve">ПІБ виконавця   </t>
  </si>
  <si>
    <t>електронна пошта виконавця</t>
  </si>
  <si>
    <t>ТО, сервісне обслуговування авто</t>
  </si>
  <si>
    <t>Інші працівники</t>
  </si>
  <si>
    <t>за заробітною платою</t>
  </si>
  <si>
    <t>Інше ТО та обслуговування</t>
  </si>
  <si>
    <t xml:space="preserve">щокварталу не пізніше 20-го числа місяця, наступного за звітним періодом </t>
  </si>
  <si>
    <t>Виробнича собівартість, всього, у тому числі</t>
  </si>
  <si>
    <t>Додаток до звіту про доходи та витрати
Надходження ПМГ</t>
  </si>
  <si>
    <t>Первинна медична допомога</t>
  </si>
  <si>
    <t>Екстрена медична допомога</t>
  </si>
  <si>
    <t>номер пакету</t>
  </si>
  <si>
    <t>Хірургічні операції дорослим та дітям у стаціонарних умовах</t>
  </si>
  <si>
    <t>Стаціонарна допомога дорослим та дітям без проведення хірургічних операцій</t>
  </si>
  <si>
    <t>Медична допомога при гострому мозковому інсульті в стаціонарних умовах</t>
  </si>
  <si>
    <t>Медична допомога при гострому інфаркті міокарда</t>
  </si>
  <si>
    <t>Амбулаторна вторинна (спеціалізована) та третинна (високоспеціалізована) медична допомога дорослим та дітям, включаючи медичну реабілітацію та стоматологічну допомогу</t>
  </si>
  <si>
    <t xml:space="preserve">Мамографія </t>
  </si>
  <si>
    <t>Гістероскопія</t>
  </si>
  <si>
    <t>Езофагодуоденоскопія</t>
  </si>
  <si>
    <t>Колоноскопія</t>
  </si>
  <si>
    <t>Цистосокія</t>
  </si>
  <si>
    <t>Бронхоскопія</t>
  </si>
  <si>
    <t>Лікування пацієнтів методом екстракорпорального гемодіалізу в амбулаторних умовах</t>
  </si>
  <si>
    <t>Діагностика та хіміотерапевтичне лікування онкологічних захворювань у дорослих та дітей</t>
  </si>
  <si>
    <t>Діагностика та радіологічне лікування онкологічних захворювань у дорослих та дітей</t>
  </si>
  <si>
    <t>Психіатрична допомога дорослим та дітям</t>
  </si>
  <si>
    <t>Лікування дорослих та дітей із туберкульозом</t>
  </si>
  <si>
    <t>Діагностика, лікування та супровід осіб із ВІЛ</t>
  </si>
  <si>
    <t>Лікування осіб із психічними та поведінковими розладами внаслідок вживання опіоїдів із використанням препаратів замісної підтримувальної терапії</t>
  </si>
  <si>
    <t>Стаціонарна паліативна медична допомога дорослим та дітям</t>
  </si>
  <si>
    <t>Мобільна паліативна медична допомога дорослим і дітям</t>
  </si>
  <si>
    <t>Медична реабілітація немовлят, які народилися передчасно та/або хворими, протягом перших трьох років життя</t>
  </si>
  <si>
    <t>Медична реабілітація дорослих та дітей від трьох років з ураженням опорно-рухового апарату</t>
  </si>
  <si>
    <t>Медична реабілітація дорослих та дітей від трьох років з ураженням нервової системи</t>
  </si>
  <si>
    <t>Медична допомога при пологах</t>
  </si>
  <si>
    <t>Медична допомога новонародженим у складних неонатальних випадках</t>
  </si>
  <si>
    <t>Додаток до звіту про доходи та витрати
Доходи ПМГ</t>
  </si>
  <si>
    <t>Доходи, всього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</si>
  <si>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</si>
  <si>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</si>
  <si>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</si>
  <si>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</si>
  <si>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</si>
  <si>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</si>
  <si>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 xml:space="preserve"> 1.9</t>
  </si>
  <si>
    <t xml:space="preserve"> 1.10</t>
  </si>
  <si>
    <t xml:space="preserve"> 1.11</t>
  </si>
  <si>
    <t xml:space="preserve"> 1.12</t>
  </si>
  <si>
    <t xml:space="preserve"> 1.13</t>
  </si>
  <si>
    <t xml:space="preserve"> 1.14</t>
  </si>
  <si>
    <t xml:space="preserve"> 1.15</t>
  </si>
  <si>
    <t xml:space="preserve"> 1.16</t>
  </si>
  <si>
    <t xml:space="preserve"> 1.17</t>
  </si>
  <si>
    <t xml:space="preserve"> 1.18</t>
  </si>
  <si>
    <t xml:space="preserve"> 1.19</t>
  </si>
  <si>
    <t xml:space="preserve"> 1.20</t>
  </si>
  <si>
    <t xml:space="preserve"> 1.21</t>
  </si>
  <si>
    <t xml:space="preserve"> 1.22</t>
  </si>
  <si>
    <t xml:space="preserve"> 1.23</t>
  </si>
  <si>
    <t xml:space="preserve"> 1.24</t>
  </si>
  <si>
    <t xml:space="preserve"> 1.25</t>
  </si>
  <si>
    <t xml:space="preserve"> 1.26</t>
  </si>
  <si>
    <t xml:space="preserve"> 1.27</t>
  </si>
  <si>
    <t xml:space="preserve"> 1.28</t>
  </si>
  <si>
    <t xml:space="preserve"> 1.29</t>
  </si>
  <si>
    <t>Послуги (крім комунальних)</t>
  </si>
  <si>
    <t xml:space="preserve">    накопичена амортизація (-)</t>
  </si>
  <si>
    <t xml:space="preserve">    знос (-)</t>
  </si>
  <si>
    <t>Всього</t>
  </si>
  <si>
    <t>грн.</t>
  </si>
  <si>
    <t>гривень</t>
  </si>
  <si>
    <t>Адміністративні витрати (92)</t>
  </si>
  <si>
    <t>код статті витрат</t>
  </si>
  <si>
    <t>Готова продукція</t>
  </si>
  <si>
    <t>Товари</t>
  </si>
  <si>
    <t>Роботи та послуги</t>
  </si>
  <si>
    <t>5.1.1.</t>
  </si>
  <si>
    <t>5.1.1.1</t>
  </si>
  <si>
    <t>5.1.1.2</t>
  </si>
  <si>
    <t>5.1.1.3</t>
  </si>
  <si>
    <t>Інші джерела надходжень</t>
  </si>
  <si>
    <t xml:space="preserve">Всього </t>
  </si>
  <si>
    <t>Виробничі (23) та загальновиробничі (91) витрати</t>
  </si>
  <si>
    <t>Елементи витрат</t>
  </si>
  <si>
    <t>Всього витрати</t>
  </si>
  <si>
    <t>Дб 26 Кр 23/91/94</t>
  </si>
  <si>
    <t>1.</t>
  </si>
  <si>
    <t>4</t>
  </si>
  <si>
    <t>Дохід, всього</t>
  </si>
  <si>
    <r>
      <t>Витрати (</t>
    </r>
    <r>
      <rPr>
        <sz val="14"/>
        <rFont val="Times New Roman"/>
        <family val="1"/>
        <charset val="204"/>
      </rPr>
      <t>без амортизації</t>
    </r>
    <r>
      <rPr>
        <b/>
        <sz val="14"/>
        <rFont val="Times New Roman"/>
        <family val="1"/>
        <charset val="204"/>
      </rPr>
      <t>)</t>
    </r>
  </si>
  <si>
    <r>
      <t xml:space="preserve">Операційні </t>
    </r>
    <r>
      <rPr>
        <sz val="14"/>
        <rFont val="Times New Roman"/>
        <family val="1"/>
        <charset val="204"/>
      </rPr>
      <t>(без амортизвції)</t>
    </r>
  </si>
  <si>
    <t>4.2.</t>
  </si>
  <si>
    <t>4.3.</t>
  </si>
  <si>
    <t>Місцезнаходження (юридична адреса)</t>
  </si>
  <si>
    <t>Нове будівництво</t>
  </si>
  <si>
    <t>I. Необоротні активи</t>
  </si>
  <si>
    <t>Довгострокові фінансові інвестиції:</t>
  </si>
  <si>
    <t>II. Довгострокові зобов’язання і забезпечення</t>
  </si>
  <si>
    <t>IІІ. Поточні зобов’язання і забезпечення</t>
  </si>
  <si>
    <t>Поточна кредиторська заборгованість за:</t>
  </si>
  <si>
    <t xml:space="preserve">II. Оборотні активи </t>
  </si>
  <si>
    <t xml:space="preserve">I. Власний капітал </t>
  </si>
  <si>
    <t xml:space="preserve">Доходи за програмою медичних гарантій за пакетами медичних послуг </t>
  </si>
  <si>
    <t>Виробничі витрати (903)</t>
  </si>
  <si>
    <t>Витрати на виготовлення продукції (для тих, хто виготовляє власну продукцію, яка потім поступає на склад)</t>
  </si>
  <si>
    <t>Надходження за програмою медичних гарантій за пакетами медичних послуг</t>
  </si>
  <si>
    <t>-</t>
  </si>
  <si>
    <t>Питома вага, %</t>
  </si>
  <si>
    <t>2.1.5.1.</t>
  </si>
  <si>
    <t xml:space="preserve">Інші матеріали, у тому числі </t>
  </si>
  <si>
    <t>засоби індивідуального захисту</t>
  </si>
  <si>
    <t>продовження</t>
  </si>
  <si>
    <t xml:space="preserve">суб’єкти господарювання, що уклали договір про медичне обслуговування населення за програмою медичних гарантій </t>
  </si>
  <si>
    <t xml:space="preserve"> 1.1.5.1</t>
  </si>
  <si>
    <t xml:space="preserve"> 1.1.5.2</t>
  </si>
  <si>
    <t xml:space="preserve"> 1.1.5.3</t>
  </si>
  <si>
    <t xml:space="preserve"> 1.1.5.4</t>
  </si>
  <si>
    <t xml:space="preserve"> 1.1.5.5</t>
  </si>
  <si>
    <t xml:space="preserve"> 1.1.5.5.1</t>
  </si>
  <si>
    <t xml:space="preserve"> 1.1.5.5.2</t>
  </si>
  <si>
    <t xml:space="preserve"> 1.1.5.5.3</t>
  </si>
  <si>
    <t xml:space="preserve"> 1.1.5.5.4</t>
  </si>
  <si>
    <t xml:space="preserve"> 1.1.5.5.5</t>
  </si>
  <si>
    <t xml:space="preserve"> 1.1.5.6</t>
  </si>
  <si>
    <t xml:space="preserve"> 1.1.5.7</t>
  </si>
  <si>
    <t xml:space="preserve"> 1.1.5.8</t>
  </si>
  <si>
    <t xml:space="preserve"> 1.1.5.9</t>
  </si>
  <si>
    <t xml:space="preserve"> 1.1.5.10</t>
  </si>
  <si>
    <t xml:space="preserve"> 1.1.5.11</t>
  </si>
  <si>
    <t xml:space="preserve"> 1.1.5.12</t>
  </si>
  <si>
    <t xml:space="preserve"> 1.1.5.13</t>
  </si>
  <si>
    <t xml:space="preserve"> 1.1.5.14</t>
  </si>
  <si>
    <t xml:space="preserve"> 1.1.5.15</t>
  </si>
  <si>
    <t xml:space="preserve"> 1.1.7</t>
  </si>
  <si>
    <t xml:space="preserve"> 1.1.7.1</t>
  </si>
  <si>
    <t xml:space="preserve"> 1.1.7.2</t>
  </si>
  <si>
    <t xml:space="preserve"> 1.1.7.3</t>
  </si>
  <si>
    <t>Засоби індивідуального захисту</t>
  </si>
  <si>
    <t xml:space="preserve"> 1.1.4.11.1</t>
  </si>
  <si>
    <t xml:space="preserve"> 1.1.4.11.2</t>
  </si>
  <si>
    <t xml:space="preserve"> 1.1.4.11.3</t>
  </si>
  <si>
    <t xml:space="preserve"> 1.1.4.11.4</t>
  </si>
  <si>
    <t xml:space="preserve"> 1.1.4.11.5</t>
  </si>
  <si>
    <t xml:space="preserve"> 1.1.4.11.6</t>
  </si>
  <si>
    <t>6.</t>
  </si>
  <si>
    <t>6.1.</t>
  </si>
  <si>
    <t>6.2.</t>
  </si>
  <si>
    <t>6.3.</t>
  </si>
  <si>
    <t>6.4.</t>
  </si>
  <si>
    <t>6.5.</t>
  </si>
  <si>
    <t>6.6.</t>
  </si>
  <si>
    <t>середньооблікова кількість штатних працівників*</t>
  </si>
  <si>
    <r>
      <t>Кількість відпрацьованих</t>
    </r>
    <r>
      <rPr>
        <sz val="12"/>
        <color rgb="FF00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людино-годин**</t>
    </r>
  </si>
  <si>
    <t>Повернення 
( - )</t>
  </si>
  <si>
    <t>Кровь та її компоненти, дози, одиниць</t>
  </si>
  <si>
    <t xml:space="preserve">Давання донорами крові та/або її компонентів, дози, одиниць </t>
  </si>
  <si>
    <t>№ 1-НС (квартальна)</t>
  </si>
  <si>
    <t xml:space="preserve"> ***</t>
  </si>
  <si>
    <t>ІV. Зобов’язання, пов’язані з необоротними активами,  у тому числі утримуваними для продажу та групами вибуття</t>
  </si>
  <si>
    <t>Давання донорами крові та/або її компонентів ***</t>
  </si>
  <si>
    <t>Кровь та її компоненти ***</t>
  </si>
  <si>
    <t xml:space="preserve">
Капітальні інвестиції, всього</t>
  </si>
  <si>
    <t>6.5.1.</t>
  </si>
  <si>
    <t>6.5.2.</t>
  </si>
  <si>
    <t>6.5.3.</t>
  </si>
  <si>
    <t>6.7.</t>
  </si>
  <si>
    <t>Робіт та послуг, у тому числі</t>
  </si>
  <si>
    <t>таблиця заповнюється за умови наявності відповідної статті у розділі Придбання ТМЦ та/або у розділі Витрати</t>
  </si>
  <si>
    <t>Дебіторська заборгованість за розрахунками:</t>
  </si>
  <si>
    <t xml:space="preserve"> </t>
  </si>
  <si>
    <t>тис. грн.</t>
  </si>
  <si>
    <t xml:space="preserve"> 1.1.4.1.5</t>
  </si>
  <si>
    <t>Дезинфекційні засоби</t>
  </si>
  <si>
    <t>Матеріали сільськогосподарського призначення</t>
  </si>
  <si>
    <t xml:space="preserve">Зайняті у наданні медичних послуг </t>
  </si>
  <si>
    <t>АВТОПЕРЕВІРКА</t>
  </si>
  <si>
    <t>№ зп</t>
  </si>
  <si>
    <t>Умова перевірки</t>
  </si>
  <si>
    <t>Достатність умови</t>
  </si>
  <si>
    <t>Висновок за умови не виконання умов перевірки</t>
  </si>
  <si>
    <t>Результат перевірки</t>
  </si>
  <si>
    <t>дані для перевірки за звітний період</t>
  </si>
  <si>
    <t>Необхідна</t>
  </si>
  <si>
    <t>Доопрацювання</t>
  </si>
  <si>
    <t>активи на початок</t>
  </si>
  <si>
    <t>пасиви на початок</t>
  </si>
  <si>
    <t>активи на кінець</t>
  </si>
  <si>
    <t>пасиви на кінець</t>
  </si>
  <si>
    <t>різниця</t>
  </si>
  <si>
    <t xml:space="preserve">Доопрацювання </t>
  </si>
  <si>
    <t>витрати</t>
  </si>
  <si>
    <t>індивідуальний аналіз</t>
  </si>
  <si>
    <t>Якщо первісна вартість ОЗ та НМА на початок періоду не дорівнює зносу, то амортизація не дорівнює 0</t>
  </si>
  <si>
    <t>Надходження, придбання ТМЦ, капітальні інвестиції</t>
  </si>
  <si>
    <t>Сума надходжень (грошові кошти) всього (бюджети) &gt;= відповідні придбання ТМЦ + КАПінвестиції (бюджети)</t>
  </si>
  <si>
    <t xml:space="preserve">Надходження ПМГ &gt; 0 </t>
  </si>
  <si>
    <t>п.2.3 в придбанні ТМЦ не дорівнює оплаті комунальних послуг в 5.1.</t>
  </si>
  <si>
    <t>2.3 ТМЦ</t>
  </si>
  <si>
    <t>оплата компослуг 5.1.</t>
  </si>
  <si>
    <t>Доходи</t>
  </si>
  <si>
    <t xml:space="preserve">Роботи та послуги (з додатка Доходи ПМГ) &gt; 0 </t>
  </si>
  <si>
    <t>Витрати</t>
  </si>
  <si>
    <t>Якщо 703ПМГ (Дохід ПМГ)  &gt; 0 то 903 &gt;= 0.5*703 ПМГ</t>
  </si>
  <si>
    <t>703ПМГ (Дохід ПМГ)</t>
  </si>
  <si>
    <t>Витрати на оплату праці</t>
  </si>
  <si>
    <t>Співставлення 71 и 94</t>
  </si>
  <si>
    <t>94 керівники</t>
  </si>
  <si>
    <t>92 керівники структурних підрозділів</t>
  </si>
  <si>
    <t>94 керівники структурних підрозділів</t>
  </si>
  <si>
    <t>94 інші працівники</t>
  </si>
  <si>
    <t>92 інші працівники</t>
  </si>
  <si>
    <t xml:space="preserve">Запаси (СдП+придбання ТМЦ-витрати ТМЦ =СдК) </t>
  </si>
  <si>
    <t>Знос ОЗ та ННМА (СдК-СдП) = амортизації</t>
  </si>
  <si>
    <t>Перевірка</t>
  </si>
  <si>
    <t>Пасиви =Активи  Баланс</t>
  </si>
  <si>
    <t>Достатня</t>
  </si>
  <si>
    <t>чи було вибуття НА? так 1, ні - 0</t>
  </si>
  <si>
    <t>%</t>
  </si>
  <si>
    <t>Надходження ПМГ</t>
  </si>
  <si>
    <t>36СдН ПМГ (звіт 9 Дебіторська заборгованість за послуги ПМГ)</t>
  </si>
  <si>
    <t>681СдК ПМГ 
(звіт 9 Аванси ПМГ)</t>
  </si>
  <si>
    <t xml:space="preserve">
</t>
  </si>
  <si>
    <r>
      <rPr>
        <b/>
        <sz val="12"/>
        <color theme="1"/>
        <rFont val="Times New Roman"/>
        <family val="1"/>
        <charset val="204"/>
      </rPr>
      <t xml:space="preserve">Співставлення  Надходжень ПМГ,  Доходів ПМГ, балансу 36 ПМГ, 681 ПМГ 
</t>
    </r>
    <r>
      <rPr>
        <b/>
        <i/>
        <sz val="12"/>
        <color rgb="FFC00000"/>
        <rFont val="Times New Roman"/>
        <family val="1"/>
        <charset val="204"/>
      </rPr>
      <t>36СдН ПМГ+ Дох ПМГ- (681СдН ПМГ+НадхПМГ)= СдК ПМГ</t>
    </r>
    <r>
      <rPr>
        <b/>
        <sz val="12"/>
        <color theme="1"/>
        <rFont val="Times New Roman"/>
        <family val="1"/>
        <charset val="204"/>
      </rPr>
      <t xml:space="preserve">
</t>
    </r>
    <r>
      <rPr>
        <sz val="12"/>
        <color theme="1"/>
        <rFont val="Times New Roman"/>
        <family val="1"/>
        <charset val="204"/>
      </rPr>
      <t xml:space="preserve">
умова 1 якщо СдК ПМГ &gt; 0, то СдК ПМГ = 36СдК ПМГ і 681СдК = 0 
умова 2 якщо СдК ПМГ &lt; 0, то СдК ПМГ = - 681СдК ПМГ і 36СдК ПМГ= 0
умова 3  якщо СдК ПМГ = 0, то  681СдК ПМГ = 0 і 36СдК ПМГ= 0
 має виконуватися одна з трьох умов</t>
    </r>
  </si>
  <si>
    <t xml:space="preserve"> Дохід ПМГ (таблиця 4, р.4.1.3.1.)</t>
  </si>
  <si>
    <t>681СдН ПМГ (звіт 9 Аванси ПМГ)</t>
  </si>
  <si>
    <t xml:space="preserve"> СдК ПМГ=  
36СдН ПМГ+ Дох ПМГ- (681СдН ПМГ+НадхПМГ)</t>
  </si>
  <si>
    <t>36СдК ПМГ  
(розрахункове)</t>
  </si>
  <si>
    <t>681СдК ПМГ 
(розрахункове)</t>
  </si>
  <si>
    <t>Запаси таблиця 2- якщо є дані у р. 2.1.5.1.(засоби індивідуального захисту) то мають бути у 2.1.5.(Інші матеріали, у тому числі )</t>
  </si>
  <si>
    <t>2.1.5.1.(засоби індивідуального захисту)</t>
  </si>
  <si>
    <t>2.1.5.(Інші матеріали, у тому числі )</t>
  </si>
  <si>
    <t>Виконують адміністративні та управлінські функції</t>
  </si>
  <si>
    <t>Виконують адміністративні та загальногосподарські функції</t>
  </si>
  <si>
    <t>* без врахування перебуваючих  у відпустці  для  догляду  за  дитиною  до досягнення  нею  віку,  передбаченого  чинним  законодавством  або колективним договором підприємства</t>
  </si>
  <si>
    <t>** проставляють суб’єкти  господарювання із кількістю працівників 50 і більше осіб та ті, що приймають участь  у вибірковому обстеженні підприємств із питань статистики праці із кількістю працівників від 10 до 49 осіб включно</t>
  </si>
  <si>
    <t>р.1 керівники таблиці 8</t>
  </si>
  <si>
    <t>р.1 гр. 5 "Виконують адміністративні та управлінські функції" таблиці 8</t>
  </si>
  <si>
    <t xml:space="preserve">92 керівники </t>
  </si>
  <si>
    <t>Витрати на оплату праці (таблиця 7) Керівники структурних підрозділів:  якщо немає видатків на 94, то на 92 мають бути</t>
  </si>
  <si>
    <t>Витрати на оплату праці (таблиця 7) Керівники:  якщо немає видатків на 94, то на 92 мають бути</t>
  </si>
  <si>
    <t>Керівники - Якщо є видатки у р.1.1.1.1. гр.4 таблиці 7, то має бути чисельність у р.1 керівники таблиці 8</t>
  </si>
  <si>
    <t>р.1.1.1.1. гр. 4 таблиці 7</t>
  </si>
  <si>
    <t>Витрати на оплату праці (таблиця 7) Інші працівники:  якщо немає видатків на 94, то на 92 мають бути</t>
  </si>
  <si>
    <t>Витрати на оплату праці (таблиці 7 и 5.1 з врахуванням витрат на виготовлення власної продукції)</t>
  </si>
  <si>
    <t>р.1.1.1.2. гр.8 таблиці 7 (92)</t>
  </si>
  <si>
    <t>р.1 гр. 6 "Зайняті у наданні медичних послуг" таблиці 8</t>
  </si>
  <si>
    <t>р.1.1.1.3. гр.4 таблиці 7</t>
  </si>
  <si>
    <t>Лікарі - Якщо є видатки у р.1.1.1.3. гр.4 таблиці 7, то має бути чисельність у р.1 гр. 7 "Лікарі" таблиці 8</t>
  </si>
  <si>
    <t>р.1 гр. 7 "Лікарі" таблиці 8</t>
  </si>
  <si>
    <t>р.1.1.1.4. гр.4 таблиці 7</t>
  </si>
  <si>
    <t>р.1 гр. 8 "Середній медичний первсонал" таблиці 8</t>
  </si>
  <si>
    <t>р.1.1.1.5. гр.4 таблиці 7</t>
  </si>
  <si>
    <t>р.1 гр. 9 "Молодший медичний персонал" таблиці 8</t>
  </si>
  <si>
    <t>р.1.1.1.6. гр.8 таблиці 7 (92)</t>
  </si>
  <si>
    <t>р.1 гр. 11 "Зайняті у наданні медичних послуг" таблиці 8</t>
  </si>
  <si>
    <t>р.1 гр. 10 "Виконують адміністративні та загальногосподарські функції" таблиці 8</t>
  </si>
  <si>
    <t>Середня кількість працівників</t>
  </si>
  <si>
    <t>Якщо середня кількість працівників &gt;50 осіб, то має бути заповнена  гр. 12 таблиці "Кількість відпрацьованих людино-годин**"  таблиці 8</t>
  </si>
  <si>
    <t>гр. 12 таблиці "Кількість відпрацьованих людино-годин**"  таблиці 8</t>
  </si>
  <si>
    <t>Середній медичний первсонал - Якщо є видатки у р.1.1.1.4. гр.4 таблиці 7, то має бути чисельність у р.1 гр. 8 "Середній медичний первсонал" таблиці 8</t>
  </si>
  <si>
    <t>Молодший медичний персонал- Якщо є видатки у р.1.1.1.5. гр.4 таблиці 7, то має бути чисельність у р.1 гр.9 "Молодший медичний персонал" таблиці 8</t>
  </si>
  <si>
    <t>36СдК ПМГ  
(звіт 9 Дебіторська заборгованість за послуги ПМГ)</t>
  </si>
  <si>
    <t>Доходи - витрати в таблиці 6 &gt;= 0</t>
  </si>
  <si>
    <t>Доходи - витрати в таблиці 5.1. &gt;= 0</t>
  </si>
  <si>
    <t>Якщо непокритий збиток на початок періоду менше 300 тис. грн. - то ПОМИЛКА</t>
  </si>
  <si>
    <t>сума активи + пасиви на кінець періода не = 0, то ПРАВДА</t>
  </si>
  <si>
    <t xml:space="preserve">Надходження ЦФ </t>
  </si>
  <si>
    <t>інформаційно</t>
  </si>
  <si>
    <t xml:space="preserve">Коригування </t>
  </si>
  <si>
    <t>На початок звітного періоду з урахуванням коригування</t>
  </si>
  <si>
    <t>Нерозподілений прибуток (непокритий збиток)  (СдК-СдП) -Дт 411) =  Доходи-Витрати</t>
  </si>
  <si>
    <t>№перевірки</t>
  </si>
  <si>
    <t>№1</t>
  </si>
  <si>
    <t>№2</t>
  </si>
  <si>
    <t>№3</t>
  </si>
  <si>
    <t>№4</t>
  </si>
  <si>
    <t>№5</t>
  </si>
  <si>
    <t>№6</t>
  </si>
  <si>
    <t>№7</t>
  </si>
  <si>
    <t>№8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</si>
  <si>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</si>
  <si>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</si>
  <si>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</si>
  <si>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</si>
  <si>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</si>
  <si>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</si>
  <si>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</si>
  <si>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</si>
  <si>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</si>
  <si>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</si>
  <si>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</si>
  <si>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</si>
  <si>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</si>
  <si>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</si>
  <si>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№25</t>
  </si>
  <si>
    <t>№26</t>
  </si>
  <si>
    <t>№27</t>
  </si>
  <si>
    <t>№28</t>
  </si>
  <si>
    <t>№29</t>
  </si>
  <si>
    <t>№30</t>
  </si>
  <si>
    <t>№31</t>
  </si>
  <si>
    <t>№32</t>
  </si>
  <si>
    <t>№33</t>
  </si>
  <si>
    <t>№34</t>
  </si>
  <si>
    <t>№35</t>
  </si>
  <si>
    <t>Інф1</t>
  </si>
  <si>
    <t>Інф2</t>
  </si>
  <si>
    <t>Інф3</t>
  </si>
  <si>
    <t>№1.1</t>
  </si>
  <si>
    <t>№3А</t>
  </si>
  <si>
    <t>№3Б</t>
  </si>
  <si>
    <t>№7А</t>
  </si>
  <si>
    <t>№Д32_35</t>
  </si>
  <si>
    <t xml:space="preserve">Сума надходжень ресурсного забезпечення (крім грошових коштів) (бюджети) може дорівнювати або бути більше на 20%, ніж сума відповідних придбання ТМЦ + КАПінвестиції (бюджети) </t>
  </si>
  <si>
    <t>передача в іншу організацію ТМЦ, що придбані (отримані) за кошти цільового фінансування (Дт 48 Кт 377)</t>
  </si>
  <si>
    <t xml:space="preserve">Капітальні інвестиції
15СдП + капітальні інвестиції 15 - (різниця первісної вартості (СдК-СдП))  ОЗ та ННМА = 15СдК
</t>
  </si>
  <si>
    <t>Обов’язково відповісти на запитання (поставити в комірку  F18  так 1, ні - 0</t>
  </si>
  <si>
    <t xml:space="preserve">Зареєстрований (уставний) капітал </t>
  </si>
  <si>
    <t>№36</t>
  </si>
  <si>
    <t>№37</t>
  </si>
  <si>
    <t>Структура балансу</t>
  </si>
  <si>
    <t>зелені</t>
  </si>
  <si>
    <t>сині</t>
  </si>
  <si>
    <t>жовті</t>
  </si>
  <si>
    <t>червоні</t>
  </si>
  <si>
    <t>оцінка</t>
  </si>
  <si>
    <t>На кінець звітного періоду з урахуванням коригування</t>
  </si>
  <si>
    <t>вибуття ОЗ, залишкова вартість яких обліковується у доходах майбутніх періодів (Дт 69 Кт377)</t>
  </si>
  <si>
    <t>вибуття ОЗ, залишкова вартість яких обліковується у додатковому капіталі (Дт 424 Кт 10)</t>
  </si>
  <si>
    <t>* якщо залишкова вартість ОЗ дорівнює О, то у таблиці нічого не проставляється</t>
  </si>
  <si>
    <t>ПМГ</t>
  </si>
  <si>
    <t>Паливо</t>
  </si>
  <si>
    <t xml:space="preserve">при заповненні даних таблиці 8  керуватися Інструкцією зі статистики кількості працівників, затвердженої наказом Держстату від 28.09.2005 №286 </t>
  </si>
  <si>
    <t>придбання</t>
  </si>
  <si>
    <t>Середній медичний персонал (в тому числі фельдшери, парамедики)</t>
  </si>
  <si>
    <t>Інші операційні витрати (94)</t>
  </si>
  <si>
    <t xml:space="preserve">з гр. 5 </t>
  </si>
  <si>
    <t>Лікарські засоби, імунобіологічні препарати, лікувальне харчування</t>
  </si>
  <si>
    <t>Перевірка на наявність ЄДРПОУ</t>
  </si>
  <si>
    <r>
      <rPr>
        <b/>
        <sz val="12"/>
        <color rgb="FFFF0000"/>
        <rFont val="Times New Roman"/>
        <family val="1"/>
        <charset val="204"/>
      </rPr>
      <t>69 Кт</t>
    </r>
    <r>
      <rPr>
        <sz val="12"/>
        <color theme="1"/>
        <rFont val="Times New Roman"/>
        <family val="1"/>
        <charset val="204"/>
      </rPr>
      <t xml:space="preserve">  = 69СдК -69СдП+69Дт (або  АММ 745 (69) ) + </t>
    </r>
    <r>
      <rPr>
        <u/>
        <sz val="12"/>
        <color rgb="FFFF0000"/>
        <rFont val="Times New Roman"/>
        <family val="1"/>
        <charset val="204"/>
      </rPr>
      <t xml:space="preserve">вибуття ОЗ (ЦФ)
</t>
    </r>
    <r>
      <rPr>
        <b/>
        <u/>
        <sz val="12"/>
        <color rgb="FFFF0000"/>
        <rFont val="Times New Roman"/>
        <family val="1"/>
        <charset val="204"/>
      </rPr>
      <t>Значення не може бути від’ємним</t>
    </r>
  </si>
  <si>
    <r>
      <t>ПМГ</t>
    </r>
    <r>
      <rPr>
        <sz val="16"/>
        <rFont val="Times New Roman"/>
        <family val="1"/>
        <charset val="204"/>
      </rPr>
      <t xml:space="preserve"> 
(додаток Надходження ПМГ)</t>
    </r>
  </si>
  <si>
    <t>Стаціонарна допомога пацієнтам з гострою респіраторною хворобою COVID-19, спричиненою коронавірусом SARS-CoV-2</t>
  </si>
  <si>
    <t>Екстрена медична допомога пацієнтам з підозрою або встановленим захворюванням на гостру респіраторну хворобу COVID-19, спричинену коронавірусом SARS-CoV-2</t>
  </si>
  <si>
    <t>Медична допомога, яка надається мобільними медичними бригадами, що утворені для реагування на гостру респіраторну хворобу COVID-19, спричинену коронавірусом SARS-CoV-2</t>
  </si>
  <si>
    <t xml:space="preserve"> 1.30</t>
  </si>
  <si>
    <t xml:space="preserve"> 1.31</t>
  </si>
  <si>
    <t>Стаціонарна медична допомога пацієнтам з гострою респіраторною хворобою COVID-19, спричиненою коронавірусом SARS-CoV-2, яка надається окремими закладами охорони здоров’я протягом квітня 2020 року</t>
  </si>
  <si>
    <t xml:space="preserve"> 1.32</t>
  </si>
  <si>
    <t>Відповідний період минулого року 
(всього)</t>
  </si>
  <si>
    <t>№9-10</t>
  </si>
  <si>
    <t>Умовна</t>
  </si>
  <si>
    <t>надходження у натуральній формі</t>
  </si>
  <si>
    <t>Інше (грошові кошти та надходження у натуральній формі ) *</t>
  </si>
  <si>
    <t>Отримані як цільове фінансування</t>
  </si>
  <si>
    <t>Дебет</t>
  </si>
  <si>
    <t>Сальдо на кінець  звітного періоду</t>
  </si>
  <si>
    <t>Кредит</t>
  </si>
  <si>
    <t xml:space="preserve">Код рядка балансу </t>
  </si>
  <si>
    <t xml:space="preserve"> 4.2.1</t>
  </si>
  <si>
    <t xml:space="preserve"> 4.2.2</t>
  </si>
  <si>
    <t xml:space="preserve"> 4.2.3</t>
  </si>
  <si>
    <t>Інший операційний дохід, всього</t>
  </si>
  <si>
    <t>Цільовий інший операційний дохід</t>
  </si>
  <si>
    <t xml:space="preserve"> 4.2.4</t>
  </si>
  <si>
    <t>Неопераційний дохід, всього</t>
  </si>
  <si>
    <t xml:space="preserve">Цільове фінансування, всього </t>
  </si>
  <si>
    <t>Т10.1</t>
  </si>
  <si>
    <t>Т10.2</t>
  </si>
  <si>
    <t>Т10.1.1</t>
  </si>
  <si>
    <t>Т10.1.2</t>
  </si>
  <si>
    <t>Т10..3</t>
  </si>
  <si>
    <t>Т10..3.1</t>
  </si>
  <si>
    <t>Т10..3.2</t>
  </si>
  <si>
    <t>Т.10.4</t>
  </si>
  <si>
    <t xml:space="preserve"> 4.3.1</t>
  </si>
  <si>
    <t xml:space="preserve"> 4.3.2</t>
  </si>
  <si>
    <t xml:space="preserve"> 4.3.3</t>
  </si>
  <si>
    <t>Т11.1</t>
  </si>
  <si>
    <t>Т11.2</t>
  </si>
  <si>
    <t>Т11.3</t>
  </si>
  <si>
    <t xml:space="preserve">  - </t>
  </si>
  <si>
    <t>\</t>
  </si>
  <si>
    <t>Т11.3.1</t>
  </si>
  <si>
    <t>у тому числі залишкова вартість НА,ОЗ що  придбані за кошти цільового фінансування</t>
  </si>
  <si>
    <t>Якщо на початок року є капітал у дооцінках, то має бути його амортизація Дт 411
Амортизація по дооціненому капіталу не може бути менше 0</t>
  </si>
  <si>
    <t>Поточна кредиторська заборгованість за отриманими авансами, всього</t>
  </si>
  <si>
    <t>в т ч. аванси за ПМГ</t>
  </si>
  <si>
    <t>у тому числі на суму залишків з запасів, що отримані з бюджету або як благодійна допомога</t>
  </si>
  <si>
    <t>Інший неопераційний дохід</t>
  </si>
  <si>
    <t>Нематеріальні активи (ННМА)</t>
  </si>
  <si>
    <t xml:space="preserve">    накопичена амортизація</t>
  </si>
  <si>
    <t xml:space="preserve">    знос</t>
  </si>
  <si>
    <t>Капітал у дооцінках (411)</t>
  </si>
  <si>
    <t>Інше (інший операційний дохід)</t>
  </si>
  <si>
    <t>Інший операційний дохід від оренди</t>
  </si>
  <si>
    <t>Інший операційний дохід від компенсаціій за комунальні платежі від орендаря</t>
  </si>
  <si>
    <t>Неопераційний дохід від амортизації  по НА та ОЗ, що отримані безоплатно (Дт 424 Кт 745)</t>
  </si>
  <si>
    <t>Неопераційний дохід, від амортизації по НА та ОЗ, що отримані як цільове фінансування  (Дт 69 Кт 745)</t>
  </si>
  <si>
    <r>
      <rPr>
        <b/>
        <u/>
        <sz val="14"/>
        <color theme="1"/>
        <rFont val="Times New Roman"/>
        <family val="1"/>
        <charset val="204"/>
      </rPr>
      <t>Цільові витрати</t>
    </r>
    <r>
      <rPr>
        <sz val="14"/>
        <color theme="1"/>
        <rFont val="Times New Roman"/>
        <family val="1"/>
        <charset val="204"/>
      </rPr>
      <t xml:space="preserve">  (виитрати за рахунок бюджетів усіх рівнів та благодійної допомоги )</t>
    </r>
  </si>
  <si>
    <t>перевірка</t>
  </si>
  <si>
    <t>Якщо р. 4.2.1 гр.3 = Цільові витрати р.1.1. гр.13 таблиці 5.1 - то ПРАВДА</t>
  </si>
  <si>
    <t>Якщо р. 4.2.1 гр.5 = Цільові витрати р.1.1. гр.14 таблиці 5.1 - то ПРАВДА</t>
  </si>
  <si>
    <t>Виконують загальновиробничі функції та забезпечують надання медичних послуг</t>
  </si>
  <si>
    <t>Інше (грошові кошти та надходження у натуральній формі</t>
  </si>
  <si>
    <t>Здійснено капітальних інвестицій у розрізі джерел фінансування</t>
  </si>
  <si>
    <t xml:space="preserve">Звітний період </t>
  </si>
  <si>
    <t>у тому числі за джерелами фінасування</t>
  </si>
  <si>
    <t>Сальдо на початок звітного періоду</t>
  </si>
  <si>
    <t>Стаття Балансу*</t>
  </si>
  <si>
    <t>Безоплатно отримані</t>
  </si>
  <si>
    <t xml:space="preserve">    первісна вартість (без дооцінки ННМА)</t>
  </si>
  <si>
    <t>дооцінка ННМА</t>
  </si>
  <si>
    <t xml:space="preserve">    первісна вартість (без дооцінки ОЗ)</t>
  </si>
  <si>
    <t>дооцінка ОЗ</t>
  </si>
  <si>
    <t>Отримано як устаний капітал</t>
  </si>
  <si>
    <t xml:space="preserve"> Додаткові таблиці до Балансу</t>
  </si>
  <si>
    <t>Т12.1.</t>
  </si>
  <si>
    <t>Т12.2</t>
  </si>
  <si>
    <t>Т12.3</t>
  </si>
  <si>
    <t>Т12.4</t>
  </si>
  <si>
    <t>у тому числі  НА, ОЗ, що  придбані за кошти цільового фінансування</t>
  </si>
  <si>
    <t>Т12.4  (Дт 411 Кт 10)</t>
  </si>
  <si>
    <t>Т14 (Дб 411 Кр 441)</t>
  </si>
  <si>
    <t>з табл 4 п. 4.3.2
Дб 424 Кр 745</t>
  </si>
  <si>
    <t>Т12.3 (Дб 424 Кр 10)</t>
  </si>
  <si>
    <t>Т12.2. (Дт 69 Кт377)</t>
  </si>
  <si>
    <t>Дебет ОСВ</t>
  </si>
  <si>
    <t>Кредит ОСВ</t>
  </si>
  <si>
    <t>* заповнюється за данними господарських операцій в оборотно-сальдовій відомості (ОСВ)</t>
  </si>
  <si>
    <t>Дт 10,11,12 Кт 424</t>
  </si>
  <si>
    <t xml:space="preserve">Дебет 
(таблиця 12 Вибуття) </t>
  </si>
  <si>
    <t>Дебет
 (таблиця 10 Кредит - знос)</t>
  </si>
  <si>
    <r>
      <t>Дебет ОСВ
(</t>
    </r>
    <r>
      <rPr>
        <u/>
        <sz val="12"/>
        <color theme="1"/>
        <rFont val="Times New Roman"/>
        <family val="1"/>
        <charset val="204"/>
      </rPr>
      <t>таблиця 11</t>
    </r>
    <r>
      <rPr>
        <sz val="12"/>
        <color theme="1"/>
        <rFont val="Times New Roman"/>
        <family val="1"/>
        <charset val="204"/>
      </rPr>
      <t>, гр.5)</t>
    </r>
  </si>
  <si>
    <r>
      <t>Сальдо напочаток звітного періоду (</t>
    </r>
    <r>
      <rPr>
        <u/>
        <sz val="12"/>
        <color theme="1"/>
        <rFont val="Times New Roman"/>
        <family val="1"/>
        <charset val="204"/>
      </rPr>
      <t>таблиця 11</t>
    </r>
    <r>
      <rPr>
        <sz val="12"/>
        <color theme="1"/>
        <rFont val="Times New Roman"/>
        <family val="1"/>
        <charset val="204"/>
      </rPr>
      <t>, гр.4)</t>
    </r>
  </si>
  <si>
    <r>
      <t>Кредит ОСВ (</t>
    </r>
    <r>
      <rPr>
        <u/>
        <sz val="12"/>
        <color theme="1"/>
        <rFont val="Times New Roman"/>
        <family val="1"/>
        <charset val="204"/>
      </rPr>
      <t>таблиця 11</t>
    </r>
    <r>
      <rPr>
        <sz val="12"/>
        <color theme="1"/>
        <rFont val="Times New Roman"/>
        <family val="1"/>
        <charset val="204"/>
      </rPr>
      <t xml:space="preserve"> гр.6)</t>
    </r>
  </si>
  <si>
    <r>
      <t>Сальдо на кінець  звітного періоду
(</t>
    </r>
    <r>
      <rPr>
        <u/>
        <sz val="12"/>
        <color theme="1"/>
        <rFont val="Times New Roman"/>
        <family val="1"/>
        <charset val="204"/>
      </rPr>
      <t>таблиця 11</t>
    </r>
    <r>
      <rPr>
        <sz val="12"/>
        <color theme="1"/>
        <rFont val="Times New Roman"/>
        <family val="1"/>
        <charset val="204"/>
      </rPr>
      <t>, гр.8)</t>
    </r>
  </si>
  <si>
    <t>Відхилення
Дохід - Кредит знос ( гр. 5 - гр. 7), якщо = 0, то ПРАВДА</t>
  </si>
  <si>
    <t>Відхилення 
Дт ОСВ (гр.4) та Дт (гр.5 + гр.6), якщо = 0, то ПРАВДА</t>
  </si>
  <si>
    <t>Відхилення 
Кт ОСВ (гр.10) та Кт (гр.11), якщо = 0, то ПРАВДА</t>
  </si>
  <si>
    <t>Амортизація (табл 6 п. 6.5) - (табл 4 + табл 14) &gt;=0, то ПРАВДА</t>
  </si>
  <si>
    <t>Дт для перевірок</t>
  </si>
  <si>
    <t>Кт для перевірок</t>
  </si>
  <si>
    <t>у тому числі  на суму залишків з капітальних інвестицій, що отримані з бюджету або як благодійна допомога</t>
  </si>
  <si>
    <t>Таблиця 9. Баланс</t>
  </si>
  <si>
    <r>
      <t xml:space="preserve">Таблиця 12. Вибуття НА та ТМЦ, шо отримані як цілове фінансування, безоплатно отримні, </t>
    </r>
    <r>
      <rPr>
        <i/>
        <sz val="14"/>
        <rFont val="Times New Roman"/>
        <family val="1"/>
        <charset val="204"/>
      </rPr>
      <t>гривень</t>
    </r>
  </si>
  <si>
    <t>Таблиця 8. Кадри</t>
  </si>
  <si>
    <r>
      <t>Таблиця 4. Доходи</t>
    </r>
    <r>
      <rPr>
        <i/>
        <sz val="14"/>
        <rFont val="Times New Roman"/>
        <family val="1"/>
        <charset val="204"/>
      </rPr>
      <t>, гривень</t>
    </r>
  </si>
  <si>
    <r>
      <t>Таблиця 5. Витрати</t>
    </r>
    <r>
      <rPr>
        <i/>
        <sz val="14"/>
        <rFont val="Times New Roman"/>
        <family val="1"/>
        <charset val="204"/>
      </rPr>
      <t>, гривень</t>
    </r>
  </si>
  <si>
    <r>
      <t>Таблиця 5.1. Операційні та неопераційні витрати</t>
    </r>
    <r>
      <rPr>
        <i/>
        <sz val="14"/>
        <color theme="1"/>
        <rFont val="Times New Roman"/>
        <family val="1"/>
        <charset val="204"/>
      </rPr>
      <t>, гривень</t>
    </r>
  </si>
  <si>
    <r>
      <t>Таблиця 6. Витрати за елементами</t>
    </r>
    <r>
      <rPr>
        <i/>
        <sz val="16"/>
        <color theme="1"/>
        <rFont val="Times New Roman"/>
        <family val="1"/>
        <charset val="204"/>
      </rPr>
      <t>, гривень</t>
    </r>
  </si>
  <si>
    <t>Таблиця 3. Капітальні інвестиції</t>
  </si>
  <si>
    <t>Таблиця 1. Надходження</t>
  </si>
  <si>
    <r>
      <t>Інші надходження, всього</t>
    </r>
    <r>
      <rPr>
        <i/>
        <sz val="18"/>
        <rFont val="Times New Roman"/>
        <family val="1"/>
        <charset val="204"/>
      </rPr>
      <t xml:space="preserve">, у тому числі </t>
    </r>
  </si>
  <si>
    <r>
      <t>Капітальні інвестиції, всього</t>
    </r>
    <r>
      <rPr>
        <i/>
        <sz val="18"/>
        <rFont val="Times New Roman"/>
        <family val="1"/>
        <charset val="204"/>
      </rPr>
      <t>, у тому числі</t>
    </r>
  </si>
  <si>
    <r>
      <t>ННМА, всього</t>
    </r>
    <r>
      <rPr>
        <sz val="18"/>
        <rFont val="Times New Roman"/>
        <family val="1"/>
        <charset val="204"/>
      </rPr>
      <t>,</t>
    </r>
    <r>
      <rPr>
        <i/>
        <sz val="18"/>
        <rFont val="Times New Roman"/>
        <family val="1"/>
        <charset val="204"/>
      </rPr>
      <t xml:space="preserve"> у тому числі </t>
    </r>
  </si>
  <si>
    <r>
      <t>Основні засоби</t>
    </r>
    <r>
      <rPr>
        <i/>
        <sz val="18"/>
        <rFont val="Times New Roman"/>
        <family val="1"/>
        <charset val="204"/>
      </rPr>
      <t xml:space="preserve">,  у тому числі </t>
    </r>
  </si>
  <si>
    <r>
      <t>Капітальне будівництво</t>
    </r>
    <r>
      <rPr>
        <i/>
        <sz val="18"/>
        <rFont val="Times New Roman"/>
        <family val="1"/>
        <charset val="204"/>
      </rPr>
      <t xml:space="preserve">, у тому числі </t>
    </r>
  </si>
  <si>
    <t>Дт 48 Кт 69 на суму вартості введення в експлуатацію</t>
  </si>
  <si>
    <r>
      <t>Придбання, оприбуткування ТМЦ, всього</t>
    </r>
    <r>
      <rPr>
        <i/>
        <sz val="18"/>
        <rFont val="Times New Roman"/>
        <family val="1"/>
        <charset val="204"/>
      </rPr>
      <t>, у тому числі</t>
    </r>
  </si>
  <si>
    <t>Цільове фінансування, безоплатно отримані НА</t>
  </si>
  <si>
    <t>Цільове фінасування</t>
  </si>
  <si>
    <t>Цільове фінасування, безоплатно отримані НА</t>
  </si>
  <si>
    <t>Таблиця 10. Рух активів в частині НА, ОЗ, капітальних інвестицій та запасів з врахуванням джерел надходжень</t>
  </si>
  <si>
    <r>
      <t>Таблиця 11. Рух пасивів в частині НА, ОЗ, дооцінки з врахуванням цільових джерел надходжень</t>
    </r>
    <r>
      <rPr>
        <i/>
        <sz val="14"/>
        <color theme="1"/>
        <rFont val="Times New Roman"/>
        <family val="1"/>
        <charset val="204"/>
      </rPr>
      <t>, гривень</t>
    </r>
  </si>
  <si>
    <t>Амортизації дооціненого капіталу (Дт 411 Кт 441), не може бути менше 0</t>
  </si>
  <si>
    <t>вибуття ОЗ, що були дооцінені, уцінка  (Дт 411 Кт 10)</t>
  </si>
  <si>
    <t>Кредит  (таблиця 10)</t>
  </si>
  <si>
    <t>Табл 10 Дт 10 ЦФ Кт 15 ЦФ
на суму вартості введення в експлуатацію</t>
  </si>
  <si>
    <t>Т10.1.2. гр.16 
Дт цільові видатки Кт 13 ЦФ</t>
  </si>
  <si>
    <t>Т10.1.2. гр.15 (Дт ціл. витрати Кт 13 безоплатно отримані)</t>
  </si>
  <si>
    <r>
      <t xml:space="preserve">Необхідна </t>
    </r>
    <r>
      <rPr>
        <b/>
        <sz val="11"/>
        <color theme="1"/>
        <rFont val="Times New Roman"/>
        <family val="1"/>
        <charset val="204"/>
      </rPr>
      <t>(не актуальна з квітня 2020 року)</t>
    </r>
  </si>
  <si>
    <t>Необхідна (не актуальна з квітня 2020 року)</t>
  </si>
  <si>
    <t>Т10.1.3</t>
  </si>
  <si>
    <t>первинна вартість (без дооцінки) безоплатно отримані, р. Т10.1.1. + Т10.3.1. гр.10
Дт 10,11,12 Кт 424</t>
  </si>
  <si>
    <t>Дооцінка
р.Т10.1.3.+ р.Т10.3.3. гр.9</t>
  </si>
  <si>
    <t>Таблиця 4, п.4.3.1 (Дт 69 Кт 745 (неоперац дохід від амортизації ОЗ и НА що отримані як ЦФ)</t>
  </si>
  <si>
    <t>р.1.1.1.2. гр.12 таблиці 7 (94)</t>
  </si>
  <si>
    <t>р.1.1.1.2. гр.10 таблиці 7 (цільові витрати)</t>
  </si>
  <si>
    <t>Керівники структурних підрозділів - Якщо є видатки у р.1.1.1.2. гр.8 таблиці 7 (або гр.10, гр.12), то має бути чисельність у р.1 гр. 5 "Виконують адміністративні та управлінські функції" таблиці 8</t>
  </si>
  <si>
    <t>Керівники структурних підрозділів - Якщо є видатки у р.1.1.1.2. гр.6 таблиці 7 (або гр.10, гр.12), то має бути чисельність у р.1 гр. 6 "Виконують загальновиробничі функції та забезпечують надання медичних послуг" таблиці 8</t>
  </si>
  <si>
    <t>р.1.1.1.2. гр.6 таблиці 7 Виробничі (23) та загальновиробничі (91) витрати</t>
  </si>
  <si>
    <t>р.1.1.1.6. гр.6 таблиці 7 Виробничі (23) та загальновиробничі (91) витрати</t>
  </si>
  <si>
    <t>р.1.1.1.6. гр.10 таблиці 7 (цільові витрати)</t>
  </si>
  <si>
    <t>Витрати ЦФ таблиця 5.1 гр. 14</t>
  </si>
  <si>
    <t>сальдо на початок періоду</t>
  </si>
  <si>
    <t>сальдо на кінець періоду</t>
  </si>
  <si>
    <t>Баланс Пасиви у % до Активів</t>
  </si>
  <si>
    <t>відхилення</t>
  </si>
  <si>
    <r>
      <t xml:space="preserve">таблиця 10 
Запаси  + незавершені капітальні інвестиції на початок періоду. </t>
    </r>
    <r>
      <rPr>
        <u/>
        <sz val="11"/>
        <color theme="1"/>
        <rFont val="Times New Roman"/>
        <family val="1"/>
        <charset val="204"/>
      </rPr>
      <t>Отримані як цільове фінансування</t>
    </r>
  </si>
  <si>
    <t xml:space="preserve">Баланс Актив Таблиця 9
Загальна сума (запаси  + незавершені капітальні інвестиції) на початок періоду </t>
  </si>
  <si>
    <t xml:space="preserve">Баланс Актив Таблиця 9
Загальна сума (запаси  + незавершені капітальні інвестиції) на кінець періоду </t>
  </si>
  <si>
    <t>Баланс Пасив Таблиця 9
Цільове фінансування на початок періоду в частині залишків запасів та незавершених капітальних інвестицій</t>
  </si>
  <si>
    <t>Баланс Пасив Таблиця 9
Цільове фінансування на кінець періоду в частині залишків запасів та незавершених капітальних інвестицій</t>
  </si>
  <si>
    <t>№36А</t>
  </si>
  <si>
    <t>№37А</t>
  </si>
  <si>
    <t>Таблиця 13 Амортизація в дооцінці</t>
  </si>
  <si>
    <t>T13</t>
  </si>
  <si>
    <t>Таблиця 14. Ув’язка</t>
  </si>
  <si>
    <t>Дт 411 (комірка J32 таблиці 13)</t>
  </si>
  <si>
    <t xml:space="preserve">таблиця 11
капітал у дооцінках +  додатковий капітал   + доходи майбутніх  періодів (ОЗ ти ННМА) на початок періоду  </t>
  </si>
  <si>
    <t xml:space="preserve">таблиця 11
капітал у дооцінках +  додатковий капітал   + доходи майбутніх  періодів (ОЗ ти ННМА) на кінець періоду  </t>
  </si>
  <si>
    <t>таблиця 10 
Нематеріальні активи + основні засоби на початок періоду, отримані безоплатно або як цільове фінансування (424 + 69)</t>
  </si>
  <si>
    <t>таблиця 10 
Нематеріальні активи + основні засоби на кінець періоду, отримані безоплатно або як цільове фінансування (424 + 69)</t>
  </si>
  <si>
    <t xml:space="preserve">Баланс Пасив Таблиця 9
капітал у дооцінках +  додатковий капітал   + доходи майбутніх  періодів (ОЗ та ННМА) на початок періоду  </t>
  </si>
  <si>
    <t xml:space="preserve">Баланс Пасив Таблиця 9
капітал у дооцінках +  додатковий капітал   + доходи майбутніх  періодів (ОЗ та ННМА) на кінець періоду  </t>
  </si>
  <si>
    <t>Баланс таблиця 9 Актив 
Загальна сума (Нематеріальні активи + основні засоби) на початок періоду</t>
  </si>
  <si>
    <t>Баланс таблиця 9 Актив 
Загальна сума (Нематеріальні активи + основні засоби) на кінець періоду</t>
  </si>
  <si>
    <t xml:space="preserve">Цільове фінансування в частині залишків запасів та незавершених капітальних інвестицій (Пасив Балансу) дорівнює сумі залишків запасів  та незавершених капітальних інвестицій, отриманих за цільовим фінансуванням ( таблиця 10)
</t>
  </si>
  <si>
    <t>Якщо Дт ЦФ р.Т10.2 гр. 11 = ЦФ таблиці 3 Капітальні інвестиції, то ПРАВДА</t>
  </si>
  <si>
    <t>Якщо Дт ЦФ р.Т10.4 гр. 11 = ЦФ таблиці 2 Придбання ТМЦ, то ПРАВДА</t>
  </si>
  <si>
    <t>71 ЦФ 
Цільовий інший операційний дохід, таблиця 4 р. 4.2.1. гр.5</t>
  </si>
  <si>
    <t>Цільові витрати   
таблиця 5.1 р. 1.1, гр. 14</t>
  </si>
  <si>
    <t>різниця
цільові витрати - 71 ЦФ</t>
  </si>
  <si>
    <t xml:space="preserve">Баланс, сальдо на початок, сума залишків з запасів, що отримані з бюджету або як благодійна допомога </t>
  </si>
  <si>
    <t>Таблиця 5.1 гр. 14 цільові витрати запасів</t>
  </si>
  <si>
    <t xml:space="preserve">1. Цільові витрати = цільовому іншому операційному доходу (71 ЦФ)
таблиця 4 р.4.2.1., гр.5  =  цільові витрати таблиця 5.1 р. 1.1, гр. 14
2. Сума залишків з запасів, що отримані з бюджету або як благодійна допомога (Баланс) + придбання (отримання) ТМЦ з цих джерел (таблиця 2) &gt;= цільовим витратам запасів (таблиця 5.1, гр.14)
</t>
  </si>
  <si>
    <r>
      <rPr>
        <sz val="11"/>
        <color rgb="FFFF0000"/>
        <rFont val="Times New Roman"/>
        <family val="1"/>
        <charset val="204"/>
      </rPr>
      <t>Розрахований за бухг. формулою</t>
    </r>
    <r>
      <rPr>
        <sz val="11"/>
        <color theme="1"/>
        <rFont val="Times New Roman"/>
        <family val="1"/>
        <charset val="204"/>
      </rPr>
      <t xml:space="preserve">
71 ЦФ  =  48Дт  - 69Кт - вибуття ТМЦ, що придбані (отримані) за кошти цільового фінансування (Дт 48 Кт 377) </t>
    </r>
  </si>
  <si>
    <t>Доходи 71ЦФ</t>
  </si>
  <si>
    <r>
      <t xml:space="preserve">
 АММ 745 (69)  (69Дт 745Кт)  +  </t>
    </r>
    <r>
      <rPr>
        <u/>
        <sz val="12"/>
        <color rgb="FFFF0000"/>
        <rFont val="Times New Roman"/>
        <family val="1"/>
        <charset val="204"/>
      </rPr>
      <t>вибуття ОЗ (ЦФ)</t>
    </r>
    <r>
      <rPr>
        <sz val="12"/>
        <color theme="1"/>
        <rFont val="Times New Roman"/>
        <family val="1"/>
        <charset val="204"/>
      </rPr>
      <t xml:space="preserve">, залишкова вартість якиих обліковується у доходах майбутніх періодів
</t>
    </r>
  </si>
  <si>
    <t>Баланс 
69СдП доходи майбутніх періодів сальдо на початок
залишкова вартість НА,ОЗ що  придбані за кошти цільового фінансування</t>
  </si>
  <si>
    <t>Баланс 
69СдК доходи майбутніх періодів сальдо на кінець
залишкова вартість НА,ОЗ що  придбані за кошти цільового фінансування</t>
  </si>
  <si>
    <t>Т14.1</t>
  </si>
  <si>
    <t>Т14.2</t>
  </si>
  <si>
    <t>Т14.3</t>
  </si>
  <si>
    <t>дані щодо сальдо на початок та на кінець мають бути рівні у Балансі та Таблиці 11</t>
  </si>
  <si>
    <r>
      <rPr>
        <sz val="14"/>
        <color rgb="FFFF0000"/>
        <rFont val="Times New Roman"/>
        <family val="1"/>
        <charset val="204"/>
      </rPr>
      <t>48 Дт</t>
    </r>
    <r>
      <rPr>
        <sz val="14"/>
        <color theme="1"/>
        <rFont val="Times New Roman"/>
        <family val="1"/>
        <charset val="204"/>
      </rPr>
      <t xml:space="preserve"> = 48СдП-48СдК+48 Кт
48 Кт  цільове фінансування (надходження) =  
(надходження бюджети + благодійна допомога) - 424 Кт.
424 Кт = 424 СдК + АММ 745 (424)- вибуття ОЗ  -424 СдП  
</t>
    </r>
    <r>
      <rPr>
        <sz val="14"/>
        <color rgb="FFFF0000"/>
        <rFont val="Times New Roman"/>
        <family val="1"/>
        <charset val="204"/>
      </rPr>
      <t>УВАГА!!!І Якщо існують госп.операції з додатковим капиталом,  заповніть  АММ 745(424) (Дт 424 Кт 745) в таблиці 4, р. 4.3.2. гр.5</t>
    </r>
  </si>
  <si>
    <t>Т14.3.1</t>
  </si>
  <si>
    <t xml:space="preserve">Таблиця 14, р.Т14.3.1, гр.4
Дт 69 за даними оборотно-сальдової відомості
</t>
  </si>
  <si>
    <t>Таблиця 14, р.Т14.3.1, гр.10
Кт 69 за даними оборотно-сальдової відомості</t>
  </si>
  <si>
    <t>Перевірки №1,2</t>
  </si>
  <si>
    <t>Перевірка №3</t>
  </si>
  <si>
    <t>Дані перевірок №1,2,3 з таблиці 14, р. Т14.3.1.</t>
  </si>
  <si>
    <t>якщо дані =0, то ПРАВДА</t>
  </si>
  <si>
    <t>Таблиця 11, р. Т11.3.1  гр.4
69СдП доходи майбутніх періодів 69 сальдо на початок
залишкова вартість НА, ОЗ, що  придбані за кошти цільового фінансування</t>
  </si>
  <si>
    <t>Таблиця 11, р. Т11.3.1  гр.8
69СдК доходи майбутніх періодів 69 сальдо на кінець
залишкова вартість НА, ОЗ, що  придбані за кошти цільового фінансування</t>
  </si>
  <si>
    <t>Баланс
незавершені капітальні інвестиції сальдо на кінець (15СдК)</t>
  </si>
  <si>
    <t>Баланс
незавершені капітальні інвестиції сальдо на початок (15 СдП)</t>
  </si>
  <si>
    <t>Таблиця 3
здійснено капітальних інвестицій (капітальні інвестиції 15)</t>
  </si>
  <si>
    <t>Баланс
різниця первісної вартості ОС и ННМА 
(сальдо на кінець - сальдо на початок)</t>
  </si>
  <si>
    <t>Якщо Дт  р.Т10.2 гр. 9 =  таблиці 3 Капітальні інвестиції, всього, то ПРАВДА</t>
  </si>
  <si>
    <t>Якщо Дт р.Т10.4 гр. 9 = таблиці 2 Придбання ТМЦ, всього, то ПРАВДА</t>
  </si>
  <si>
    <t>Таблиця 2
придбання ТМЦ</t>
  </si>
  <si>
    <t>Таблиця 5.1. 
витрати ТМЦ</t>
  </si>
  <si>
    <r>
      <rPr>
        <sz val="14"/>
        <color rgb="FFFF0000"/>
        <rFont val="Times New Roman"/>
        <family val="1"/>
        <charset val="204"/>
      </rPr>
      <t>розрахунково</t>
    </r>
    <r>
      <rPr>
        <sz val="14"/>
        <color theme="1"/>
        <rFont val="Times New Roman"/>
        <family val="1"/>
        <charset val="204"/>
      </rPr>
      <t xml:space="preserve">
запаси сальдо на початок+придбання ТМЦ-витрати ТМЦ - передача ТМЦ</t>
    </r>
  </si>
  <si>
    <t>Баланс 
запаси сальдо на кінець</t>
  </si>
  <si>
    <t>перевірка Дт незавершені капітальні інвестиці та запаси</t>
  </si>
  <si>
    <r>
      <t>Стаття Балансу</t>
    </r>
    <r>
      <rPr>
        <b/>
        <sz val="14"/>
        <color theme="1"/>
        <rFont val="Times New Roman"/>
        <family val="1"/>
        <charset val="204"/>
      </rPr>
      <t>*</t>
    </r>
  </si>
  <si>
    <t>Таблиця 10 р. Т10.4, гр.24
Якщо Дт таблиці 10, р.Т10.4 гр. 9 = таблиці 2 Придбання ТМЦ, всього, то ПРАВДА</t>
  </si>
  <si>
    <t>Таблиця 10 р. Т10.2, гр.24
Якщо Дт таблиці 10, р.Т10.2 гр. 9 =  таблиці 3 Капітальні інвестиції, всього,  то ПРАВДА</t>
  </si>
  <si>
    <t>Баланс 
запаси сальдо на початок</t>
  </si>
  <si>
    <t>Баланс
капітал у дооцінках (411 СдК)</t>
  </si>
  <si>
    <t>Баланс
прибуток на початок</t>
  </si>
  <si>
    <t>Баланс
прибуток на кінець</t>
  </si>
  <si>
    <t>Таблиця 4, р.4 гр.5
Дохід, всього</t>
  </si>
  <si>
    <t>Таблиця 6, р.6 гр.5
Витрати за елементами</t>
  </si>
  <si>
    <t>Баланс
капітал у дооцінках (411 СдП)</t>
  </si>
  <si>
    <t>Таблиця 10 р. Т10.4, гр.25
Якщо Дт ЦФ р.Т10.2 гр. 11 = ЦФ таблиці 3 Капітальні інвестиції, то ПРАВДА</t>
  </si>
  <si>
    <t>Таблиця 10 р. Т10.4, гр.25
Якщо Дт ЦФ р.Т10.4 гр. 11 = ЦФ таблиці 2 Придбання ТМЦ, то ПРАВДА</t>
  </si>
  <si>
    <t>Таблиця 5.1, р. 1.1.7 гр. 4
Амортизація</t>
  </si>
  <si>
    <t xml:space="preserve">Баланс
знос (ОЗ + ННМА) сальдо на кінець  </t>
  </si>
  <si>
    <t>Баланс
знос (ОЗ + ННМА) сальдо на початок</t>
  </si>
  <si>
    <t>Баланс
сума первісної вартості ОЗ та НМА</t>
  </si>
  <si>
    <t>Баланс
сума зносу ОЗ та НМА</t>
  </si>
  <si>
    <t>Таблиця 1
надходження ресурсного забезпечення (крім грошових коштів) (ДБУ)</t>
  </si>
  <si>
    <t xml:space="preserve">Цільове фінансування за рахунок коштів бюджетів усіх рівнів має бути відображено у таблиці 1 Надходження </t>
  </si>
  <si>
    <t xml:space="preserve">Таблиця 5.1
Операційні та неопераційні витрати, всього </t>
  </si>
  <si>
    <t>Таблиця 6
витрати за елементами, всього</t>
  </si>
  <si>
    <t>Дохід від реалізації робіт та послуг,  всього &gt;= дохід від реалізації послуг (з додатка Доходи ПМГ)</t>
  </si>
  <si>
    <t>Таблиця 4 , р. 4.1.3, гр.5 
Дохід від реалізації робіт та послуг,  всього</t>
  </si>
  <si>
    <t xml:space="preserve">Таблиця 4, р. 4.1.3.1 гр.5 (з додатку Доходи ПМГ р.1 гр.5)
</t>
  </si>
  <si>
    <t>Сальдо на кінець  звітного періоду ОСВ</t>
  </si>
  <si>
    <t>Таблиця 11, р. Т11.1 гр.4
Сальдо на початок звітного періоду ОСВ</t>
  </si>
  <si>
    <t>Таблиця 11, р. Т11.1  гр.8
Сальдо накінець звітного періоду ОСВ</t>
  </si>
  <si>
    <t>Дані перевірок №1,3 з таблиці 14, р. Т14.1.</t>
  </si>
  <si>
    <t>Таблиці 2, 3 
сума відповідні придбання ТМЦ + КАПінвестиції (ДБУ)</t>
  </si>
  <si>
    <t>Таблиця 1
надходження ресурсного забезпечення (крім грошових коштів) (місцеві бюджети)</t>
  </si>
  <si>
    <t>Таблиці 2, 3 
сума відповідні придбання ТМЦ + КАПінвестиції (місцеві бюджети)</t>
  </si>
  <si>
    <t>Таблиця 1
надходження  грошових коштів (ДБУ)</t>
  </si>
  <si>
    <t>Таблиця 1
надходження грошових коштів (місцеві бюджети)</t>
  </si>
  <si>
    <t>Таблиці 2, 3
сума відповідні придбання ТМЦ + КАПінвестиції (ДБУ)</t>
  </si>
  <si>
    <t>Таблиці 2, 3
сума відповідні придбання ТМЦ + КАПінвестиції (місцеві бюджети)</t>
  </si>
  <si>
    <r>
      <t>69 Кт (дохід майбутніх періодів з проведень  Дт ЦФ10-Кт ЦФ15) = 69СдК -69СдП+69Дт (або АММ 745(69))</t>
    </r>
    <r>
      <rPr>
        <u/>
        <sz val="14"/>
        <color theme="1"/>
        <rFont val="Times New Roman"/>
        <family val="1"/>
        <charset val="204"/>
      </rPr>
      <t>+Вибуття ОЗ (ЦФ)</t>
    </r>
  </si>
  <si>
    <t>Баланс
цільове фінансування 48 сальдо на початок</t>
  </si>
  <si>
    <t>Баланс
цільове фінансування 48 сальдо на кынець</t>
  </si>
  <si>
    <t>Сальдо на початок звітного періоду ОСВ</t>
  </si>
  <si>
    <t>дані щодо Кт мають бути рівні</t>
  </si>
  <si>
    <t xml:space="preserve">Таблиця 1
цільове фінансування (надходження), у тому додатковий капітал </t>
  </si>
  <si>
    <t>Таблиця 11, р. Т11.2  гр.4 Додатковий капітал
Сальдо на початок звітного періоду ОСВ</t>
  </si>
  <si>
    <t xml:space="preserve">Баланс
додатковий капітал сальдо на початок  424 СдП </t>
  </si>
  <si>
    <t xml:space="preserve">Баланс
додатковий капітал сальдо на кінець  424 СдК </t>
  </si>
  <si>
    <t>Таблиця 11, р. Т11.2  гр.8 Додатковий капітал
Сальдо на початок звітного періоду ОСВ</t>
  </si>
  <si>
    <r>
      <t xml:space="preserve">АММ 745 (424) (від додатково капіталу Дт 424 Кт 745) комірка J 17 таблиці 4 </t>
    </r>
    <r>
      <rPr>
        <u/>
        <sz val="12"/>
        <color rgb="FFFF0000"/>
        <rFont val="Times New Roman"/>
        <family val="1"/>
        <charset val="204"/>
      </rPr>
      <t>+ вибуття ОЗ</t>
    </r>
    <r>
      <rPr>
        <sz val="12"/>
        <color theme="1"/>
        <rFont val="Times New Roman"/>
        <family val="1"/>
        <charset val="204"/>
      </rPr>
      <t>, залишкова вартість яких обліковується у додатковому капіталі
(Дт 424 Кт 10)</t>
    </r>
  </si>
  <si>
    <t xml:space="preserve">Таблиця 14, р.Т14.2, гр.4
Дт 424 за даними оборотно-сальдової відомості
</t>
  </si>
  <si>
    <t>Таблиця 14, р.Т14.2, гр.10
Кт 424 за даними оборотно-сальдової відомості</t>
  </si>
  <si>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FF0000"/>
        <rFont val="Times New Roman"/>
        <family val="1"/>
        <charset val="204"/>
      </rPr>
      <t>48 Дт</t>
    </r>
    <r>
      <rPr>
        <sz val="14"/>
        <color theme="1"/>
        <rFont val="Times New Roman"/>
        <family val="1"/>
        <charset val="204"/>
      </rPr>
      <t xml:space="preserve">= 48СдП-48СдК+48 Кт </t>
    </r>
    <r>
      <rPr>
        <b/>
        <i/>
        <sz val="14"/>
        <color rgb="FFFF0000"/>
        <rFont val="Times New Roman"/>
        <family val="1"/>
        <charset val="204"/>
      </rPr>
      <t>Значення не може бути від’ємним</t>
    </r>
  </si>
  <si>
    <t>дані щодо Дт мають бути рівні</t>
  </si>
  <si>
    <r>
      <t xml:space="preserve"> 48 Кт = цільове фінансування (надходження) - 424 Кт.</t>
    </r>
    <r>
      <rPr>
        <b/>
        <i/>
        <sz val="14"/>
        <color theme="1"/>
        <rFont val="Times New Roman"/>
        <family val="1"/>
        <charset val="204"/>
      </rPr>
      <t xml:space="preserve"> </t>
    </r>
    <r>
      <rPr>
        <b/>
        <i/>
        <sz val="14"/>
        <color rgb="FFFF0000"/>
        <rFont val="Times New Roman"/>
        <family val="1"/>
        <charset val="204"/>
      </rPr>
      <t>Значення не може бути від’ємним</t>
    </r>
  </si>
  <si>
    <t>Дані перевірок №1,2,3 з таблиці 14, р. Т14.2</t>
  </si>
  <si>
    <r>
      <t xml:space="preserve">424 Кт = 424 СдК + АММ 745(424) </t>
    </r>
    <r>
      <rPr>
        <u/>
        <sz val="12"/>
        <color rgb="FFFF0000"/>
        <rFont val="Times New Roman"/>
        <family val="1"/>
        <charset val="204"/>
      </rPr>
      <t xml:space="preserve">+ вибуття ОЗ </t>
    </r>
    <r>
      <rPr>
        <u/>
        <sz val="12"/>
        <rFont val="Times New Roman"/>
        <family val="1"/>
        <charset val="204"/>
      </rPr>
      <t>- 424 СдП</t>
    </r>
    <r>
      <rPr>
        <u/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
</t>
    </r>
    <r>
      <rPr>
        <b/>
        <u/>
        <sz val="12"/>
        <color rgb="FFFF0000"/>
        <rFont val="Times New Roman"/>
        <family val="1"/>
        <charset val="204"/>
      </rPr>
      <t xml:space="preserve">Значення не може бути від’ємним </t>
    </r>
  </si>
  <si>
    <r>
      <rPr>
        <sz val="14"/>
        <color rgb="FFFF0000"/>
        <rFont val="Times New Roman"/>
        <family val="1"/>
        <charset val="204"/>
      </rPr>
      <t>розрахунково</t>
    </r>
    <r>
      <rPr>
        <sz val="14"/>
        <color theme="1"/>
        <rFont val="Times New Roman"/>
        <family val="1"/>
        <charset val="204"/>
      </rPr>
      <t xml:space="preserve">
15СдП + капітальні інвестиції 15 - (різниця первісна вартість (сальдо на кінець - сальдо на початок)  ОЗ и ННМА)</t>
    </r>
  </si>
  <si>
    <t xml:space="preserve">Дебет 
(з таблиці 4 та Т13 
Доходи =АММ),  </t>
  </si>
  <si>
    <t>Таблиця 7. Оплата праці</t>
  </si>
  <si>
    <t>Таблиця 7
Оплата прац, всього</t>
  </si>
  <si>
    <t>Таблиця 5.1. 
Оплата праці+витрати на виготовлення власної продукції</t>
  </si>
  <si>
    <t>Таблиця 10
Сальдо на початок звітного періоду</t>
  </si>
  <si>
    <t>Таблиця 10
Сальдо на кінець звітного періоду</t>
  </si>
  <si>
    <t>Т10.3.3</t>
  </si>
  <si>
    <t>Таблиця 2
Запаси придбання (цільове фінансування)</t>
  </si>
  <si>
    <t>формула 
(Сд Н + запаси придбання) - цільові витрати запасів</t>
  </si>
  <si>
    <t>Відхилення, має дорівнювати 0</t>
  </si>
  <si>
    <t>співставлення з таблицею 10:
дооцінка -  р.  10.1.3 та р. Т10.3.3. гр.4, гр.19;
безоплатно отримані - р. Т10.1.1. - Т10.1.2. та Т10.3.1- Т10.3.2 гр. 5; гр.20;
отримані як цільове фінансування - Т10.1.1 - Т10.1.2 та Т 10.3.1.-Т10.3.2 гр. 6; гр.21</t>
  </si>
  <si>
    <t xml:space="preserve">ПМГ 
</t>
  </si>
  <si>
    <t>Таблиця Компоненти крові</t>
  </si>
  <si>
    <t>Таблиця 2. Придбання, оприбуткування ТМЦ</t>
  </si>
  <si>
    <t xml:space="preserve">
Придбання, оприбуткування ТМЦ, всього</t>
  </si>
  <si>
    <r>
      <t xml:space="preserve">якщо перевірки </t>
    </r>
    <r>
      <rPr>
        <sz val="14"/>
        <color rgb="FFFF0000"/>
        <rFont val="Times New Roman"/>
        <family val="1"/>
        <charset val="204"/>
      </rPr>
      <t>№7А и №7, №8</t>
    </r>
    <r>
      <rPr>
        <sz val="14"/>
        <color theme="1"/>
        <rFont val="Times New Roman"/>
        <family val="1"/>
        <charset val="204"/>
      </rPr>
      <t xml:space="preserve"> правильні та є  69СдП, то має бути  АММ 745 (69) і 69 Кт &gt;=0 
</t>
    </r>
    <r>
      <rPr>
        <sz val="14"/>
        <color rgb="FFFF0000"/>
        <rFont val="Times New Roman"/>
        <family val="1"/>
        <charset val="204"/>
      </rPr>
      <t>УВАГА!!!  заповніть дохід від амортизації   АММ 745 (69)  від цільового фінансування ( Дт 69 Кт 745)  в таблиці 4  р. 4.3.1. гр. 5</t>
    </r>
  </si>
  <si>
    <t>* Деталізація "Інше" з таблиці 1</t>
  </si>
  <si>
    <t>Інше (ПМГ та власні кошти)</t>
  </si>
  <si>
    <r>
      <t xml:space="preserve">Сума залишкової вартості (капітал у дооцінках +  додатковий капітал   + доходи майбутніх періодів(ОЗ та ННМА) дорівнюють сумі залишкової вартості нематеріальних активів + основні засоби на початок періоду, отримані безоплатно або як цільове фінансування (424 + 69)
</t>
    </r>
    <r>
      <rPr>
        <i/>
        <sz val="14"/>
        <color theme="1"/>
        <rFont val="Times New Roman"/>
        <family val="1"/>
        <charset val="204"/>
      </rPr>
      <t>дані в гривнях</t>
    </r>
    <r>
      <rPr>
        <sz val="14"/>
        <color theme="1"/>
        <rFont val="Times New Roman"/>
        <family val="1"/>
        <charset val="204"/>
      </rPr>
      <t xml:space="preserve">
</t>
    </r>
  </si>
  <si>
    <t>звіт формується за 1 півріччя</t>
  </si>
  <si>
    <r>
      <rPr>
        <sz val="14"/>
        <color rgb="FFFF0000"/>
        <rFont val="Times New Roman"/>
        <family val="1"/>
        <charset val="204"/>
      </rPr>
      <t>розрахунково</t>
    </r>
    <r>
      <rPr>
        <sz val="14"/>
        <color theme="1"/>
        <rFont val="Times New Roman"/>
        <family val="1"/>
        <charset val="204"/>
      </rPr>
      <t xml:space="preserve">
 Кт13 знос (ОЗ + ННМА) =сальдо на кінець -  сальдо на початок</t>
    </r>
  </si>
  <si>
    <t xml:space="preserve">Сума залишкової вартості (капітал у дооцінках +  додатковий капітал   + доходи майбутніх періодів(Оз та ННМА)) складають не менше 45 % від загальної суми залишкової вартості (Нематеріальні активи + основні засоби)
</t>
  </si>
  <si>
    <t xml:space="preserve">Цільове фінансування в частині залишків запасів та незавершених капітальних інвестицій (Пасив Балансу) складає не менше 25% загальної суми залишків запасів  та незавершених капітальних інвестицій (Актив Балансу)
</t>
  </si>
  <si>
    <r>
      <t xml:space="preserve">таблиця 10 
Запаси  + незавершені капітальні інвестиції на кінець періоду </t>
    </r>
    <r>
      <rPr>
        <u/>
        <sz val="11"/>
        <color theme="1"/>
        <rFont val="Times New Roman"/>
        <family val="1"/>
        <charset val="204"/>
      </rPr>
      <t>Отримані як цільове фінансування</t>
    </r>
  </si>
  <si>
    <t>р.1.1.1.6. гр.12 таблиці 7 (94)</t>
  </si>
  <si>
    <t>Інші працівники - Якщо є видатки у р.1.1.1.6. гр.8 таблиці 7 (або гр.10, гр.12), то має бути чисельність у р.1 гр. 10 "Виконують адміністративні та загальногосподарські функції" таблиці 8</t>
  </si>
  <si>
    <t>Інші працівники- Якщо є видатки у р.1.1.1.6. гр.6 таблиці 7 (або гр.10, гр.12), то має бути чисельність у р.1 гр. 11 "Зайняті у наданні медичних послуг" таблиці 8</t>
  </si>
  <si>
    <t>ЗВІТ ПРО ДОХОДИ ТА ВИТРАТИ за 1 півріччя 2020 року</t>
  </si>
  <si>
    <t>Середньомісячні витрати на оплату праці, грн.</t>
  </si>
  <si>
    <t>Цільовий інший операційний дохід (71 ЦФ) р. 4.2.1., гр. 5  таблиця 4 = розрахованому за формулою 71ЦФ</t>
  </si>
  <si>
    <t>71 ЦФ Цільовий інший операційний дохід
 р. 4.2.1., гр. 5  таблиця 4</t>
  </si>
  <si>
    <t>Таблиця 8.1. Середньомісячні витрати на оплау праці , грн.</t>
  </si>
  <si>
    <t>Комунальне некомерційне підприємство "Лубенський районний центр первинної медико-санітарної допомоги" Лубенської районної ради Полтавської області</t>
  </si>
  <si>
    <t>37532, Полтавська область, Лубенський район, с. Вовчик, вул. І. Сухомлина, 55</t>
  </si>
  <si>
    <t>37500, Полтавська область, м. Лубни, пл. академіка О. Бекетова, 19</t>
  </si>
  <si>
    <t>vozrdalubny@ukr.net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</si>
</sst>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%"/>
    <numFmt numFmtId="166" formatCode="0.0"/>
    <numFmt numFmtId="167" formatCode="#,##0.00000"/>
  </numFmts>
  <fonts count="7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color indexed="8"/>
      <name val="Calibri"/>
      <family val="2"/>
    </font>
    <font>
      <b/>
      <sz val="12"/>
      <color theme="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0"/>
      <name val="Times New Roman Cyr"/>
      <charset val="204"/>
    </font>
    <font>
      <sz val="11"/>
      <color theme="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 tint="0.34998626667073579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9"/>
      <color theme="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u/>
      <sz val="16"/>
      <color theme="1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2"/>
      <color rgb="FFC00000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i/>
      <sz val="16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12"/>
      <color rgb="FFFF0000"/>
      <name val="Times New Roman"/>
      <family val="1"/>
      <charset val="204"/>
    </font>
    <font>
      <sz val="11"/>
      <color indexed="81"/>
      <name val="Tahoma"/>
      <family val="2"/>
      <charset val="204"/>
    </font>
    <font>
      <sz val="8"/>
      <color theme="1"/>
      <name val="Times New Roman"/>
      <family val="1"/>
      <charset val="204"/>
    </font>
    <font>
      <b/>
      <u/>
      <sz val="12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theme="0" tint="-0.14999847407452621"/>
      <name val="Times New Roman"/>
      <family val="1"/>
      <charset val="204"/>
    </font>
    <font>
      <i/>
      <sz val="12"/>
      <color theme="0" tint="-0.1499984740745262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sz val="16"/>
      <color theme="0" tint="-0.499984740745262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6"/>
      <color indexed="81"/>
      <name val="Tahoma"/>
      <family val="2"/>
      <charset val="204"/>
    </font>
    <font>
      <b/>
      <i/>
      <sz val="14"/>
      <color rgb="FFC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u/>
      <sz val="18"/>
      <color theme="1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8" fillId="0" borderId="0"/>
    <xf numFmtId="0" fontId="19" fillId="0" borderId="0"/>
    <xf numFmtId="0" fontId="21" fillId="0" borderId="0"/>
    <xf numFmtId="0" fontId="22" fillId="0" borderId="0"/>
    <xf numFmtId="0" fontId="24" fillId="0" borderId="0"/>
    <xf numFmtId="0" fontId="27" fillId="0" borderId="0" applyNumberFormat="0" applyFill="0" applyBorder="0" applyAlignment="0" applyProtection="0"/>
  </cellStyleXfs>
  <cellXfs count="1444">
    <xf numFmtId="0" fontId="0" fillId="0" borderId="0" xfId="0"/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2" fillId="2" borderId="0" xfId="1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horizontal="left" vertical="center" wrapText="1"/>
    </xf>
    <xf numFmtId="0" fontId="8" fillId="0" borderId="0" xfId="0" applyFont="1"/>
    <xf numFmtId="0" fontId="3" fillId="0" borderId="0" xfId="0" applyFont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/>
    </xf>
    <xf numFmtId="49" fontId="12" fillId="2" borderId="0" xfId="1" applyNumberFormat="1" applyFont="1" applyFill="1" applyBorder="1" applyAlignment="1">
      <alignment horizontal="left" vertical="top" wrapText="1" indent="1" readingOrder="1"/>
    </xf>
    <xf numFmtId="0" fontId="2" fillId="0" borderId="0" xfId="1" applyFont="1" applyFill="1" applyBorder="1" applyAlignment="1">
      <alignment vertical="center" wrapText="1"/>
    </xf>
    <xf numFmtId="0" fontId="12" fillId="0" borderId="0" xfId="1" applyFont="1" applyFill="1" applyBorder="1" applyAlignment="1">
      <alignment horizontal="left"/>
    </xf>
    <xf numFmtId="0" fontId="2" fillId="2" borderId="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horizontal="left" vertical="center"/>
    </xf>
    <xf numFmtId="0" fontId="23" fillId="0" borderId="0" xfId="0" applyFont="1"/>
    <xf numFmtId="0" fontId="23" fillId="0" borderId="0" xfId="0" applyFont="1" applyBorder="1"/>
    <xf numFmtId="0" fontId="5" fillId="0" borderId="0" xfId="0" applyFont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2" borderId="0" xfId="1" applyFont="1" applyFill="1" applyBorder="1" applyAlignment="1">
      <alignment horizontal="left" vertical="center" wrapText="1" indent="1"/>
    </xf>
    <xf numFmtId="0" fontId="17" fillId="0" borderId="0" xfId="1" applyFont="1" applyFill="1" applyBorder="1" applyAlignment="1">
      <alignment horizontal="left" vertical="center"/>
    </xf>
    <xf numFmtId="0" fontId="3" fillId="0" borderId="0" xfId="0" applyFont="1"/>
    <xf numFmtId="0" fontId="17" fillId="0" borderId="0" xfId="1" applyFont="1" applyFill="1" applyBorder="1" applyAlignment="1">
      <alignment vertical="center"/>
    </xf>
    <xf numFmtId="0" fontId="17" fillId="0" borderId="0" xfId="1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/>
    <xf numFmtId="0" fontId="14" fillId="2" borderId="1" xfId="0" applyFont="1" applyFill="1" applyBorder="1" applyAlignment="1">
      <alignment horizontal="left" vertical="center" wrapText="1"/>
    </xf>
    <xf numFmtId="0" fontId="2" fillId="2" borderId="12" xfId="1" applyFont="1" applyFill="1" applyBorder="1" applyAlignment="1">
      <alignment vertical="center"/>
    </xf>
    <xf numFmtId="16" fontId="17" fillId="2" borderId="12" xfId="1" applyNumberFormat="1" applyFont="1" applyFill="1" applyBorder="1" applyAlignment="1">
      <alignment vertical="center"/>
    </xf>
    <xf numFmtId="0" fontId="2" fillId="0" borderId="12" xfId="1" applyFont="1" applyFill="1" applyBorder="1" applyAlignment="1">
      <alignment vertical="center"/>
    </xf>
    <xf numFmtId="0" fontId="17" fillId="2" borderId="12" xfId="1" applyFont="1" applyFill="1" applyBorder="1" applyAlignment="1"/>
    <xf numFmtId="0" fontId="17" fillId="2" borderId="14" xfId="1" applyFont="1" applyFill="1" applyBorder="1" applyAlignment="1"/>
    <xf numFmtId="0" fontId="8" fillId="2" borderId="0" xfId="0" applyFont="1" applyFill="1"/>
    <xf numFmtId="0" fontId="2" fillId="2" borderId="1" xfId="0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vertical="center" wrapText="1"/>
    </xf>
    <xf numFmtId="0" fontId="16" fillId="0" borderId="0" xfId="0" applyFont="1" applyAlignment="1">
      <alignment horizontal="right"/>
    </xf>
    <xf numFmtId="0" fontId="1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7" fillId="2" borderId="1" xfId="1" applyNumberFormat="1" applyFont="1" applyFill="1" applyBorder="1" applyAlignment="1">
      <alignment horizontal="center" vertical="center"/>
    </xf>
    <xf numFmtId="0" fontId="10" fillId="6" borderId="1" xfId="1" applyFont="1" applyFill="1" applyBorder="1" applyAlignment="1">
      <alignment vertical="center" wrapText="1"/>
    </xf>
    <xf numFmtId="0" fontId="2" fillId="0" borderId="19" xfId="1" applyFont="1" applyFill="1" applyBorder="1" applyAlignment="1">
      <alignment horizontal="center" vertical="center" wrapText="1"/>
    </xf>
    <xf numFmtId="0" fontId="26" fillId="2" borderId="19" xfId="1" applyFont="1" applyFill="1" applyBorder="1" applyAlignment="1">
      <alignment horizontal="center" vertical="center" wrapText="1"/>
    </xf>
    <xf numFmtId="16" fontId="17" fillId="2" borderId="14" xfId="1" applyNumberFormat="1" applyFont="1" applyFill="1" applyBorder="1" applyAlignment="1">
      <alignment vertical="center"/>
    </xf>
    <xf numFmtId="0" fontId="32" fillId="0" borderId="0" xfId="0" applyFont="1" applyBorder="1"/>
    <xf numFmtId="0" fontId="33" fillId="0" borderId="0" xfId="0" applyFont="1" applyBorder="1"/>
    <xf numFmtId="4" fontId="2" fillId="2" borderId="0" xfId="1" applyNumberFormat="1" applyFont="1" applyFill="1" applyBorder="1" applyAlignment="1">
      <alignment horizontal="center" vertical="center"/>
    </xf>
    <xf numFmtId="4" fontId="2" fillId="2" borderId="0" xfId="1" applyNumberFormat="1" applyFont="1" applyFill="1" applyBorder="1" applyAlignment="1">
      <alignment vertical="center"/>
    </xf>
    <xf numFmtId="4" fontId="2" fillId="0" borderId="21" xfId="1" applyNumberFormat="1" applyFont="1" applyFill="1" applyBorder="1" applyAlignment="1">
      <alignment horizontal="center" vertical="center" wrapText="1"/>
    </xf>
    <xf numFmtId="4" fontId="8" fillId="0" borderId="0" xfId="0" applyNumberFormat="1" applyFont="1"/>
    <xf numFmtId="4" fontId="17" fillId="2" borderId="20" xfId="1" applyNumberFormat="1" applyFont="1" applyFill="1" applyBorder="1" applyAlignment="1">
      <alignment horizontal="center" vertical="center" wrapText="1"/>
    </xf>
    <xf numFmtId="4" fontId="17" fillId="2" borderId="1" xfId="1" applyNumberFormat="1" applyFont="1" applyFill="1" applyBorder="1" applyAlignment="1">
      <alignment horizontal="center" vertical="center" wrapText="1"/>
    </xf>
    <xf numFmtId="4" fontId="5" fillId="7" borderId="1" xfId="0" applyNumberFormat="1" applyFont="1" applyFill="1" applyBorder="1"/>
    <xf numFmtId="1" fontId="26" fillId="2" borderId="1" xfId="1" applyNumberFormat="1" applyFont="1" applyFill="1" applyBorder="1" applyAlignment="1">
      <alignment horizontal="center" wrapText="1"/>
    </xf>
    <xf numFmtId="3" fontId="26" fillId="2" borderId="1" xfId="1" applyNumberFormat="1" applyFont="1" applyFill="1" applyBorder="1" applyAlignment="1">
      <alignment horizontal="center" vertical="center" wrapText="1"/>
    </xf>
    <xf numFmtId="3" fontId="26" fillId="2" borderId="13" xfId="1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/>
    </xf>
    <xf numFmtId="1" fontId="26" fillId="2" borderId="1" xfId="1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0" fontId="31" fillId="0" borderId="0" xfId="1" applyFont="1" applyFill="1" applyBorder="1" applyAlignment="1">
      <alignment vertical="center"/>
    </xf>
    <xf numFmtId="0" fontId="23" fillId="0" borderId="0" xfId="0" applyFont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1" fontId="23" fillId="0" borderId="0" xfId="1" applyNumberFormat="1" applyFont="1" applyFill="1" applyBorder="1" applyAlignment="1">
      <alignment horizontal="center" vertical="center" wrapText="1"/>
    </xf>
    <xf numFmtId="0" fontId="23" fillId="0" borderId="0" xfId="1" applyFont="1" applyFill="1" applyBorder="1" applyAlignment="1">
      <alignment horizontal="center" vertical="center" wrapText="1"/>
    </xf>
    <xf numFmtId="1" fontId="17" fillId="2" borderId="1" xfId="1" applyNumberFormat="1" applyFont="1" applyFill="1" applyBorder="1" applyAlignment="1">
      <alignment horizontal="center" vertical="center"/>
    </xf>
    <xf numFmtId="0" fontId="17" fillId="0" borderId="12" xfId="1" applyFont="1" applyFill="1" applyBorder="1" applyAlignment="1">
      <alignment horizontal="center" vertical="center" wrapText="1"/>
    </xf>
    <xf numFmtId="0" fontId="17" fillId="0" borderId="13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/>
    <xf numFmtId="0" fontId="9" fillId="2" borderId="0" xfId="1" applyFont="1" applyFill="1" applyBorder="1" applyAlignment="1">
      <alignment horizontal="right"/>
    </xf>
    <xf numFmtId="4" fontId="2" fillId="2" borderId="1" xfId="1" applyNumberFormat="1" applyFont="1" applyFill="1" applyBorder="1" applyAlignment="1" applyProtection="1">
      <alignment horizontal="center" vertical="center"/>
      <protection locked="0"/>
    </xf>
    <xf numFmtId="4" fontId="2" fillId="0" borderId="1" xfId="1" applyNumberFormat="1" applyFont="1" applyFill="1" applyBorder="1" applyAlignment="1" applyProtection="1">
      <alignment horizontal="center" vertical="center"/>
      <protection locked="0"/>
    </xf>
    <xf numFmtId="4" fontId="14" fillId="0" borderId="1" xfId="0" applyNumberFormat="1" applyFont="1" applyBorder="1" applyProtection="1">
      <protection locked="0"/>
    </xf>
    <xf numFmtId="2" fontId="5" fillId="0" borderId="1" xfId="0" applyNumberFormat="1" applyFont="1" applyFill="1" applyBorder="1" applyProtection="1">
      <protection locked="0"/>
    </xf>
    <xf numFmtId="4" fontId="9" fillId="0" borderId="20" xfId="1" applyNumberFormat="1" applyFont="1" applyFill="1" applyBorder="1" applyAlignment="1">
      <alignment horizontal="center" vertical="center" wrapText="1"/>
    </xf>
    <xf numFmtId="4" fontId="9" fillId="0" borderId="21" xfId="1" applyNumberFormat="1" applyFont="1" applyFill="1" applyBorder="1" applyAlignment="1">
      <alignment horizontal="center" vertical="center" wrapText="1"/>
    </xf>
    <xf numFmtId="165" fontId="16" fillId="8" borderId="1" xfId="0" applyNumberFormat="1" applyFont="1" applyFill="1" applyBorder="1"/>
    <xf numFmtId="165" fontId="16" fillId="8" borderId="15" xfId="0" applyNumberFormat="1" applyFont="1" applyFill="1" applyBorder="1"/>
    <xf numFmtId="4" fontId="25" fillId="8" borderId="1" xfId="1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Protection="1">
      <protection locked="0"/>
    </xf>
    <xf numFmtId="4" fontId="14" fillId="0" borderId="13" xfId="0" applyNumberFormat="1" applyFont="1" applyBorder="1" applyProtection="1">
      <protection locked="0"/>
    </xf>
    <xf numFmtId="4" fontId="14" fillId="2" borderId="1" xfId="0" applyNumberFormat="1" applyFont="1" applyFill="1" applyBorder="1" applyAlignment="1">
      <alignment horizontal="center"/>
    </xf>
    <xf numFmtId="4" fontId="16" fillId="2" borderId="1" xfId="0" applyNumberFormat="1" applyFont="1" applyFill="1" applyBorder="1" applyAlignment="1">
      <alignment horizontal="center"/>
    </xf>
    <xf numFmtId="4" fontId="14" fillId="7" borderId="13" xfId="0" applyNumberFormat="1" applyFont="1" applyFill="1" applyBorder="1"/>
    <xf numFmtId="4" fontId="2" fillId="0" borderId="1" xfId="0" applyNumberFormat="1" applyFont="1" applyBorder="1" applyProtection="1">
      <protection locked="0"/>
    </xf>
    <xf numFmtId="4" fontId="14" fillId="0" borderId="15" xfId="0" applyNumberFormat="1" applyFont="1" applyBorder="1" applyProtection="1">
      <protection locked="0"/>
    </xf>
    <xf numFmtId="4" fontId="14" fillId="0" borderId="18" xfId="0" applyNumberFormat="1" applyFont="1" applyBorder="1" applyProtection="1">
      <protection locked="0"/>
    </xf>
    <xf numFmtId="0" fontId="2" fillId="0" borderId="0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4" fontId="35" fillId="8" borderId="13" xfId="1" applyNumberFormat="1" applyFont="1" applyFill="1" applyBorder="1" applyAlignment="1">
      <alignment horizontal="center" vertical="center"/>
    </xf>
    <xf numFmtId="4" fontId="36" fillId="0" borderId="13" xfId="1" applyNumberFormat="1" applyFont="1" applyFill="1" applyBorder="1" applyAlignment="1" applyProtection="1">
      <alignment horizontal="center" vertical="center"/>
      <protection locked="0"/>
    </xf>
    <xf numFmtId="4" fontId="36" fillId="0" borderId="18" xfId="1" applyNumberFormat="1" applyFont="1" applyFill="1" applyBorder="1" applyAlignment="1" applyProtection="1">
      <alignment horizontal="center" vertical="center"/>
      <protection locked="0"/>
    </xf>
    <xf numFmtId="0" fontId="10" fillId="2" borderId="0" xfId="1" applyFont="1" applyFill="1" applyBorder="1" applyAlignment="1"/>
    <xf numFmtId="0" fontId="3" fillId="0" borderId="3" xfId="0" applyFont="1" applyBorder="1" applyAlignment="1">
      <alignment horizontal="center" vertical="center" wrapText="1"/>
    </xf>
    <xf numFmtId="4" fontId="5" fillId="7" borderId="1" xfId="0" applyNumberFormat="1" applyFont="1" applyFill="1" applyBorder="1" applyProtection="1">
      <protection locked="0"/>
    </xf>
    <xf numFmtId="0" fontId="3" fillId="0" borderId="0" xfId="0" applyFont="1" applyBorder="1" applyAlignment="1">
      <alignment vertical="center" wrapText="1"/>
    </xf>
    <xf numFmtId="0" fontId="9" fillId="0" borderId="0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 indent="1"/>
    </xf>
    <xf numFmtId="0" fontId="9" fillId="0" borderId="0" xfId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left" vertical="center" wrapText="1"/>
    </xf>
    <xf numFmtId="0" fontId="39" fillId="0" borderId="0" xfId="7" applyFont="1" applyAlignment="1"/>
    <xf numFmtId="4" fontId="17" fillId="2" borderId="13" xfId="1" applyNumberFormat="1" applyFont="1" applyFill="1" applyBorder="1" applyAlignment="1">
      <alignment horizontal="center" vertical="center" wrapText="1"/>
    </xf>
    <xf numFmtId="1" fontId="26" fillId="2" borderId="13" xfId="1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right"/>
    </xf>
    <xf numFmtId="4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>
      <alignment horizontal="center" vertical="center"/>
    </xf>
    <xf numFmtId="166" fontId="12" fillId="0" borderId="1" xfId="1" quotePrefix="1" applyNumberFormat="1" applyFont="1" applyFill="1" applyBorder="1" applyAlignment="1" applyProtection="1">
      <alignment horizontal="center" vertical="center"/>
      <protection locked="0"/>
    </xf>
    <xf numFmtId="166" fontId="12" fillId="0" borderId="13" xfId="1" quotePrefix="1" applyNumberFormat="1" applyFont="1" applyFill="1" applyBorder="1" applyAlignment="1" applyProtection="1">
      <alignment horizontal="center" vertical="center"/>
      <protection locked="0"/>
    </xf>
    <xf numFmtId="166" fontId="10" fillId="8" borderId="1" xfId="1" applyNumberFormat="1" applyFont="1" applyFill="1" applyBorder="1" applyAlignment="1">
      <alignment horizontal="center" vertical="center"/>
    </xf>
    <xf numFmtId="166" fontId="15" fillId="8" borderId="1" xfId="1" quotePrefix="1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" fontId="5" fillId="0" borderId="0" xfId="0" applyNumberFormat="1" applyFont="1"/>
    <xf numFmtId="0" fontId="8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Alignment="1" applyProtection="1">
      <protection locked="0"/>
    </xf>
    <xf numFmtId="0" fontId="2" fillId="0" borderId="0" xfId="1" applyFont="1" applyFill="1" applyBorder="1" applyAlignment="1" applyProtection="1">
      <alignment vertical="center"/>
      <protection locked="0"/>
    </xf>
    <xf numFmtId="0" fontId="31" fillId="0" borderId="0" xfId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vertical="center" wrapText="1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7" fillId="2" borderId="13" xfId="1" applyNumberFormat="1" applyFont="1" applyFill="1" applyBorder="1" applyAlignment="1">
      <alignment horizontal="center" vertical="center"/>
    </xf>
    <xf numFmtId="1" fontId="17" fillId="2" borderId="12" xfId="1" applyNumberFormat="1" applyFont="1" applyFill="1" applyBorder="1" applyAlignment="1">
      <alignment horizontal="center" vertical="center"/>
    </xf>
    <xf numFmtId="166" fontId="12" fillId="2" borderId="1" xfId="1" applyNumberFormat="1" applyFont="1" applyFill="1" applyBorder="1" applyAlignment="1" applyProtection="1">
      <alignment vertical="center"/>
      <protection locked="0"/>
    </xf>
    <xf numFmtId="166" fontId="12" fillId="2" borderId="13" xfId="1" applyNumberFormat="1" applyFont="1" applyFill="1" applyBorder="1" applyAlignment="1" applyProtection="1">
      <alignment vertical="center"/>
      <protection locked="0"/>
    </xf>
    <xf numFmtId="166" fontId="12" fillId="2" borderId="15" xfId="1" applyNumberFormat="1" applyFont="1" applyFill="1" applyBorder="1" applyAlignment="1" applyProtection="1">
      <alignment vertical="center"/>
      <protection locked="0"/>
    </xf>
    <xf numFmtId="166" fontId="12" fillId="2" borderId="18" xfId="1" applyNumberFormat="1" applyFont="1" applyFill="1" applyBorder="1" applyAlignment="1" applyProtection="1">
      <alignment vertical="center"/>
      <protection locked="0"/>
    </xf>
    <xf numFmtId="3" fontId="14" fillId="2" borderId="1" xfId="0" applyNumberFormat="1" applyFont="1" applyFill="1" applyBorder="1" applyAlignment="1">
      <alignment horizontal="center" vertical="center" wrapText="1"/>
    </xf>
    <xf numFmtId="3" fontId="14" fillId="2" borderId="13" xfId="0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center"/>
      <protection locked="0"/>
    </xf>
    <xf numFmtId="0" fontId="8" fillId="2" borderId="0" xfId="0" applyFont="1" applyFill="1" applyProtection="1">
      <protection locked="0"/>
    </xf>
    <xf numFmtId="4" fontId="2" fillId="0" borderId="0" xfId="1" applyNumberFormat="1" applyFont="1" applyFill="1" applyBorder="1" applyAlignment="1" applyProtection="1">
      <alignment vertical="center" wrapText="1"/>
      <protection locked="0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31" fillId="0" borderId="0" xfId="1" applyFont="1" applyFill="1" applyBorder="1" applyAlignment="1" applyProtection="1">
      <alignment vertical="center" wrapText="1"/>
      <protection locked="0"/>
    </xf>
    <xf numFmtId="4" fontId="8" fillId="0" borderId="0" xfId="0" applyNumberFormat="1" applyFont="1" applyProtection="1">
      <protection locked="0"/>
    </xf>
    <xf numFmtId="0" fontId="23" fillId="0" borderId="0" xfId="0" applyFont="1" applyProtection="1">
      <protection locked="0"/>
    </xf>
    <xf numFmtId="4" fontId="23" fillId="2" borderId="0" xfId="0" applyNumberFormat="1" applyFont="1" applyFill="1" applyProtection="1">
      <protection locked="0"/>
    </xf>
    <xf numFmtId="4" fontId="32" fillId="0" borderId="0" xfId="0" applyNumberFormat="1" applyFont="1" applyProtection="1">
      <protection locked="0"/>
    </xf>
    <xf numFmtId="4" fontId="8" fillId="0" borderId="0" xfId="0" applyNumberFormat="1" applyFont="1" applyFill="1" applyProtection="1">
      <protection locked="0"/>
    </xf>
    <xf numFmtId="4" fontId="2" fillId="8" borderId="1" xfId="1" applyNumberFormat="1" applyFont="1" applyFill="1" applyBorder="1" applyAlignment="1">
      <alignment horizontal="right" vertical="center"/>
    </xf>
    <xf numFmtId="4" fontId="2" fillId="8" borderId="15" xfId="1" applyNumberFormat="1" applyFont="1" applyFill="1" applyBorder="1" applyAlignment="1">
      <alignment horizontal="right" vertical="center"/>
    </xf>
    <xf numFmtId="4" fontId="2" fillId="8" borderId="1" xfId="1" applyNumberFormat="1" applyFont="1" applyFill="1" applyBorder="1" applyAlignment="1">
      <alignment horizontal="right" vertical="center" indent="1"/>
    </xf>
    <xf numFmtId="4" fontId="2" fillId="8" borderId="15" xfId="1" applyNumberFormat="1" applyFont="1" applyFill="1" applyBorder="1" applyAlignment="1">
      <alignment horizontal="right" vertical="center" indent="1"/>
    </xf>
    <xf numFmtId="4" fontId="2" fillId="4" borderId="1" xfId="1" applyNumberFormat="1" applyFont="1" applyFill="1" applyBorder="1" applyAlignment="1" applyProtection="1">
      <alignment horizontal="center" vertical="center"/>
    </xf>
    <xf numFmtId="165" fontId="9" fillId="4" borderId="1" xfId="1" applyNumberFormat="1" applyFont="1" applyFill="1" applyBorder="1" applyAlignment="1" applyProtection="1">
      <alignment horizontal="right" vertical="center"/>
    </xf>
    <xf numFmtId="165" fontId="9" fillId="4" borderId="15" xfId="1" applyNumberFormat="1" applyFont="1" applyFill="1" applyBorder="1" applyAlignment="1" applyProtection="1">
      <alignment horizontal="right" vertical="center"/>
    </xf>
    <xf numFmtId="165" fontId="9" fillId="4" borderId="13" xfId="1" applyNumberFormat="1" applyFont="1" applyFill="1" applyBorder="1" applyAlignment="1" applyProtection="1">
      <alignment horizontal="right" vertical="center"/>
    </xf>
    <xf numFmtId="165" fontId="9" fillId="4" borderId="18" xfId="1" applyNumberFormat="1" applyFont="1" applyFill="1" applyBorder="1" applyAlignment="1" applyProtection="1">
      <alignment horizontal="right" vertical="center"/>
    </xf>
    <xf numFmtId="4" fontId="14" fillId="4" borderId="1" xfId="0" applyNumberFormat="1" applyFont="1" applyFill="1" applyBorder="1"/>
    <xf numFmtId="0" fontId="2" fillId="0" borderId="0" xfId="1" applyFont="1" applyFill="1" applyBorder="1" applyAlignment="1" applyProtection="1">
      <alignment vertical="center"/>
    </xf>
    <xf numFmtId="0" fontId="31" fillId="0" borderId="0" xfId="1" applyFont="1" applyFill="1" applyBorder="1" applyAlignment="1" applyProtection="1">
      <alignment vertical="center"/>
    </xf>
    <xf numFmtId="0" fontId="2" fillId="2" borderId="0" xfId="1" applyFont="1" applyFill="1" applyBorder="1" applyAlignment="1" applyProtection="1">
      <alignment vertical="center" wrapText="1"/>
      <protection locked="0"/>
    </xf>
    <xf numFmtId="0" fontId="17" fillId="0" borderId="0" xfId="1" applyFont="1" applyFill="1" applyBorder="1" applyAlignment="1" applyProtection="1">
      <alignment vertical="center"/>
      <protection locked="0"/>
    </xf>
    <xf numFmtId="0" fontId="17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31" fillId="2" borderId="0" xfId="1" applyFont="1" applyFill="1" applyBorder="1" applyAlignment="1" applyProtection="1">
      <alignment vertical="center"/>
      <protection locked="0"/>
    </xf>
    <xf numFmtId="164" fontId="35" fillId="2" borderId="0" xfId="1" applyNumberFormat="1" applyFont="1" applyFill="1" applyBorder="1" applyAlignment="1" applyProtection="1">
      <alignment vertical="center"/>
      <protection locked="0"/>
    </xf>
    <xf numFmtId="49" fontId="36" fillId="2" borderId="0" xfId="1" applyNumberFormat="1" applyFont="1" applyFill="1" applyBorder="1" applyAlignment="1" applyProtection="1">
      <alignment vertical="top" wrapText="1" readingOrder="1"/>
      <protection locked="0"/>
    </xf>
    <xf numFmtId="0" fontId="17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2" borderId="0" xfId="1" applyFont="1" applyFill="1" applyBorder="1" applyAlignment="1" applyProtection="1">
      <alignment vertical="center"/>
    </xf>
    <xf numFmtId="0" fontId="2" fillId="2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166" fontId="14" fillId="0" borderId="1" xfId="0" applyNumberFormat="1" applyFont="1" applyFill="1" applyBorder="1" applyProtection="1">
      <protection locked="0"/>
    </xf>
    <xf numFmtId="166" fontId="14" fillId="4" borderId="1" xfId="0" applyNumberFormat="1" applyFont="1" applyFill="1" applyBorder="1"/>
    <xf numFmtId="0" fontId="8" fillId="0" borderId="1" xfId="0" applyFont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42" fillId="0" borderId="0" xfId="0" applyFont="1" applyBorder="1"/>
    <xf numFmtId="0" fontId="0" fillId="0" borderId="0" xfId="0" applyBorder="1"/>
    <xf numFmtId="0" fontId="42" fillId="0" borderId="32" xfId="0" applyFont="1" applyBorder="1"/>
    <xf numFmtId="0" fontId="42" fillId="0" borderId="3" xfId="0" applyFont="1" applyBorder="1"/>
    <xf numFmtId="0" fontId="8" fillId="2" borderId="43" xfId="0" applyFont="1" applyFill="1" applyBorder="1" applyAlignment="1">
      <alignment horizontal="center"/>
    </xf>
    <xf numFmtId="0" fontId="8" fillId="0" borderId="43" xfId="0" applyFont="1" applyBorder="1" applyAlignment="1">
      <alignment wrapText="1"/>
    </xf>
    <xf numFmtId="0" fontId="42" fillId="2" borderId="3" xfId="0" applyFont="1" applyFill="1" applyBorder="1"/>
    <xf numFmtId="0" fontId="0" fillId="2" borderId="0" xfId="0" applyFill="1"/>
    <xf numFmtId="0" fontId="8" fillId="2" borderId="8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42" fillId="2" borderId="46" xfId="0" applyFont="1" applyFill="1" applyBorder="1"/>
    <xf numFmtId="0" fontId="8" fillId="2" borderId="0" xfId="0" applyFont="1" applyFill="1" applyBorder="1" applyAlignment="1">
      <alignment horizontal="center"/>
    </xf>
    <xf numFmtId="0" fontId="8" fillId="0" borderId="0" xfId="0" applyFont="1" applyBorder="1" applyAlignment="1">
      <alignment wrapText="1"/>
    </xf>
    <xf numFmtId="0" fontId="8" fillId="2" borderId="39" xfId="0" applyFont="1" applyFill="1" applyBorder="1" applyAlignment="1">
      <alignment horizontal="center" vertical="center"/>
    </xf>
    <xf numFmtId="0" fontId="42" fillId="2" borderId="0" xfId="0" applyFont="1" applyFill="1" applyBorder="1"/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4" fontId="2" fillId="2" borderId="0" xfId="1" applyNumberFormat="1" applyFont="1" applyFill="1" applyBorder="1" applyAlignment="1" applyProtection="1">
      <alignment horizontal="center" vertical="center"/>
    </xf>
    <xf numFmtId="0" fontId="46" fillId="0" borderId="0" xfId="0" applyFont="1" applyAlignment="1">
      <alignment wrapText="1"/>
    </xf>
    <xf numFmtId="0" fontId="8" fillId="2" borderId="1" xfId="0" applyFont="1" applyFill="1" applyBorder="1" applyAlignment="1">
      <alignment wrapText="1"/>
    </xf>
    <xf numFmtId="0" fontId="3" fillId="0" borderId="45" xfId="0" applyFont="1" applyBorder="1" applyAlignment="1">
      <alignment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0" fillId="2" borderId="0" xfId="0" applyFill="1" applyBorder="1"/>
    <xf numFmtId="4" fontId="14" fillId="2" borderId="15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8" fillId="2" borderId="8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41" fillId="2" borderId="0" xfId="0" applyFont="1" applyFill="1" applyBorder="1" applyAlignment="1">
      <alignment horizontal="left" vertical="center" wrapText="1"/>
    </xf>
    <xf numFmtId="4" fontId="3" fillId="2" borderId="20" xfId="0" applyNumberFormat="1" applyFont="1" applyFill="1" applyBorder="1" applyAlignment="1">
      <alignment horizontal="center" vertical="center" wrapText="1"/>
    </xf>
    <xf numFmtId="4" fontId="3" fillId="2" borderId="2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" fontId="2" fillId="2" borderId="0" xfId="1" applyNumberFormat="1" applyFont="1" applyFill="1" applyBorder="1" applyAlignment="1" applyProtection="1">
      <alignment vertical="center"/>
      <protection locked="0"/>
    </xf>
    <xf numFmtId="0" fontId="2" fillId="2" borderId="1" xfId="1" applyFont="1" applyFill="1" applyBorder="1" applyAlignment="1">
      <alignment vertical="center"/>
    </xf>
    <xf numFmtId="4" fontId="14" fillId="2" borderId="1" xfId="0" applyNumberFormat="1" applyFont="1" applyFill="1" applyBorder="1" applyProtection="1">
      <protection locked="0"/>
    </xf>
    <xf numFmtId="4" fontId="14" fillId="2" borderId="13" xfId="0" applyNumberFormat="1" applyFont="1" applyFill="1" applyBorder="1" applyProtection="1">
      <protection locked="0"/>
    </xf>
    <xf numFmtId="4" fontId="20" fillId="6" borderId="1" xfId="0" applyNumberFormat="1" applyFont="1" applyFill="1" applyBorder="1"/>
    <xf numFmtId="4" fontId="3" fillId="0" borderId="1" xfId="0" applyNumberFormat="1" applyFont="1" applyBorder="1" applyProtection="1">
      <protection locked="0"/>
    </xf>
    <xf numFmtId="49" fontId="17" fillId="2" borderId="1" xfId="1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center"/>
    </xf>
    <xf numFmtId="166" fontId="14" fillId="2" borderId="1" xfId="0" applyNumberFormat="1" applyFont="1" applyFill="1" applyBorder="1" applyProtection="1">
      <protection locked="0"/>
    </xf>
    <xf numFmtId="0" fontId="3" fillId="2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16" fillId="2" borderId="0" xfId="0" applyFont="1" applyFill="1" applyAlignment="1">
      <alignment horizontal="right"/>
    </xf>
    <xf numFmtId="0" fontId="3" fillId="2" borderId="0" xfId="0" applyFont="1" applyFill="1" applyProtection="1">
      <protection locked="0"/>
    </xf>
    <xf numFmtId="4" fontId="3" fillId="2" borderId="1" xfId="0" applyNumberFormat="1" applyFont="1" applyFill="1" applyBorder="1" applyProtection="1">
      <protection locked="0"/>
    </xf>
    <xf numFmtId="0" fontId="14" fillId="7" borderId="12" xfId="0" applyFont="1" applyFill="1" applyBorder="1" applyAlignment="1">
      <alignment horizontal="left"/>
    </xf>
    <xf numFmtId="0" fontId="5" fillId="7" borderId="1" xfId="0" applyFont="1" applyFill="1" applyBorder="1" applyAlignment="1">
      <alignment horizontal="center" vertical="center"/>
    </xf>
    <xf numFmtId="0" fontId="10" fillId="7" borderId="1" xfId="1" applyFont="1" applyFill="1" applyBorder="1" applyAlignment="1">
      <alignment vertical="center" wrapText="1"/>
    </xf>
    <xf numFmtId="0" fontId="14" fillId="0" borderId="0" xfId="0" applyFont="1" applyBorder="1"/>
    <xf numFmtId="164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/>
    <xf numFmtId="4" fontId="8" fillId="10" borderId="2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/>
    <xf numFmtId="4" fontId="8" fillId="2" borderId="0" xfId="0" applyNumberFormat="1" applyFont="1" applyFill="1" applyBorder="1" applyAlignment="1">
      <alignment horizontal="center" vertical="center"/>
    </xf>
    <xf numFmtId="0" fontId="14" fillId="0" borderId="43" xfId="0" applyFont="1" applyBorder="1"/>
    <xf numFmtId="0" fontId="8" fillId="0" borderId="0" xfId="0" applyFont="1" applyBorder="1" applyAlignment="1"/>
    <xf numFmtId="4" fontId="8" fillId="2" borderId="20" xfId="0" applyNumberFormat="1" applyFont="1" applyFill="1" applyBorder="1" applyAlignment="1">
      <alignment horizontal="center" vertical="center" wrapText="1"/>
    </xf>
    <xf numFmtId="4" fontId="8" fillId="10" borderId="18" xfId="0" applyNumberFormat="1" applyFont="1" applyFill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 vertical="center" wrapText="1"/>
    </xf>
    <xf numFmtId="4" fontId="14" fillId="10" borderId="18" xfId="0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 applyBorder="1"/>
    <xf numFmtId="4" fontId="8" fillId="0" borderId="15" xfId="0" applyNumberFormat="1" applyFont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 wrapText="1"/>
    </xf>
    <xf numFmtId="4" fontId="14" fillId="0" borderId="5" xfId="0" applyNumberFormat="1" applyFont="1" applyBorder="1" applyAlignment="1">
      <alignment horizontal="center" vertical="center" wrapText="1"/>
    </xf>
    <xf numFmtId="4" fontId="14" fillId="0" borderId="44" xfId="0" applyNumberFormat="1" applyFont="1" applyBorder="1" applyAlignment="1">
      <alignment horizontal="center" vertical="center" wrapText="1"/>
    </xf>
    <xf numFmtId="4" fontId="8" fillId="0" borderId="47" xfId="0" applyNumberFormat="1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4" fontId="14" fillId="0" borderId="15" xfId="0" applyNumberFormat="1" applyFont="1" applyBorder="1" applyAlignment="1">
      <alignment horizontal="center" vertical="center"/>
    </xf>
    <xf numFmtId="4" fontId="8" fillId="0" borderId="0" xfId="0" applyNumberFormat="1" applyFont="1" applyBorder="1"/>
    <xf numFmtId="4" fontId="8" fillId="0" borderId="0" xfId="0" applyNumberFormat="1" applyFont="1" applyBorder="1" applyAlignment="1">
      <alignment horizontal="center" vertical="center"/>
    </xf>
    <xf numFmtId="4" fontId="14" fillId="0" borderId="18" xfId="0" applyNumberFormat="1" applyFont="1" applyBorder="1" applyAlignment="1">
      <alignment horizontal="center" vertical="center"/>
    </xf>
    <xf numFmtId="164" fontId="8" fillId="2" borderId="0" xfId="0" applyNumberFormat="1" applyFont="1" applyFill="1" applyBorder="1"/>
    <xf numFmtId="164" fontId="8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Alignment="1">
      <alignment horizontal="center"/>
    </xf>
    <xf numFmtId="4" fontId="8" fillId="2" borderId="0" xfId="0" applyNumberFormat="1" applyFont="1" applyFill="1"/>
    <xf numFmtId="4" fontId="51" fillId="2" borderId="0" xfId="0" applyNumberFormat="1" applyFont="1" applyFill="1"/>
    <xf numFmtId="4" fontId="46" fillId="0" borderId="0" xfId="0" applyNumberFormat="1" applyFont="1"/>
    <xf numFmtId="16" fontId="8" fillId="0" borderId="20" xfId="0" applyNumberFormat="1" applyFont="1" applyBorder="1" applyAlignment="1">
      <alignment horizontal="center" vertical="center"/>
    </xf>
    <xf numFmtId="4" fontId="8" fillId="2" borderId="21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" fontId="2" fillId="2" borderId="8" xfId="1" applyNumberFormat="1" applyFont="1" applyFill="1" applyBorder="1" applyAlignment="1" applyProtection="1">
      <alignment horizontal="center" vertical="center"/>
    </xf>
    <xf numFmtId="0" fontId="8" fillId="0" borderId="43" xfId="0" applyFont="1" applyBorder="1" applyAlignment="1">
      <alignment horizontal="center" vertical="center" wrapText="1"/>
    </xf>
    <xf numFmtId="167" fontId="52" fillId="0" borderId="0" xfId="1" applyNumberFormat="1" applyFont="1" applyFill="1" applyBorder="1" applyAlignment="1" applyProtection="1">
      <alignment vertical="center"/>
      <protection locked="0"/>
    </xf>
    <xf numFmtId="0" fontId="3" fillId="0" borderId="45" xfId="0" applyFont="1" applyBorder="1" applyAlignment="1">
      <alignment horizontal="center"/>
    </xf>
    <xf numFmtId="0" fontId="8" fillId="12" borderId="0" xfId="0" applyFont="1" applyFill="1" applyProtection="1">
      <protection locked="0"/>
    </xf>
    <xf numFmtId="4" fontId="8" fillId="2" borderId="1" xfId="0" applyNumberFormat="1" applyFont="1" applyFill="1" applyBorder="1" applyAlignment="1">
      <alignment horizontal="center" vertical="center" wrapText="1"/>
    </xf>
    <xf numFmtId="167" fontId="53" fillId="2" borderId="18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 wrapText="1"/>
    </xf>
    <xf numFmtId="4" fontId="14" fillId="13" borderId="15" xfId="0" applyNumberFormat="1" applyFont="1" applyFill="1" applyBorder="1" applyAlignment="1">
      <alignment horizontal="center" vertical="center" wrapText="1"/>
    </xf>
    <xf numFmtId="4" fontId="14" fillId="5" borderId="18" xfId="0" applyNumberFormat="1" applyFont="1" applyFill="1" applyBorder="1" applyAlignment="1">
      <alignment horizontal="center" vertical="center" wrapText="1"/>
    </xf>
    <xf numFmtId="4" fontId="2" fillId="2" borderId="18" xfId="1" applyNumberFormat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17" fillId="0" borderId="12" xfId="1" applyFont="1" applyFill="1" applyBorder="1" applyAlignment="1">
      <alignment horizontal="center" vertical="center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166" fontId="10" fillId="2" borderId="0" xfId="1" applyNumberFormat="1" applyFont="1" applyFill="1" applyBorder="1" applyAlignment="1">
      <alignment horizontal="center" vertical="center"/>
    </xf>
    <xf numFmtId="166" fontId="12" fillId="2" borderId="0" xfId="1" quotePrefix="1" applyNumberFormat="1" applyFont="1" applyFill="1" applyBorder="1" applyAlignment="1" applyProtection="1">
      <alignment horizontal="center" vertical="center"/>
      <protection locked="0"/>
    </xf>
    <xf numFmtId="3" fontId="14" fillId="2" borderId="0" xfId="0" applyNumberFormat="1" applyFont="1" applyFill="1" applyBorder="1" applyAlignment="1">
      <alignment horizontal="center" vertical="center" wrapText="1"/>
    </xf>
    <xf numFmtId="164" fontId="33" fillId="2" borderId="0" xfId="1" quotePrefix="1" applyNumberFormat="1" applyFont="1" applyFill="1" applyBorder="1" applyAlignment="1">
      <alignment horizontal="right" vertical="center" wrapText="1" indent="2"/>
    </xf>
    <xf numFmtId="4" fontId="14" fillId="2" borderId="0" xfId="0" applyNumberFormat="1" applyFont="1" applyFill="1" applyBorder="1" applyAlignment="1">
      <alignment vertical="center" wrapText="1"/>
    </xf>
    <xf numFmtId="4" fontId="1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1" applyFont="1" applyFill="1" applyBorder="1" applyAlignment="1">
      <alignment horizontal="center" vertical="center"/>
    </xf>
    <xf numFmtId="0" fontId="31" fillId="2" borderId="0" xfId="1" applyFont="1" applyFill="1" applyBorder="1" applyAlignment="1">
      <alignment vertical="center"/>
    </xf>
    <xf numFmtId="0" fontId="17" fillId="2" borderId="12" xfId="1" applyFont="1" applyFill="1" applyBorder="1" applyAlignment="1">
      <alignment horizontal="center" vertical="center"/>
    </xf>
    <xf numFmtId="4" fontId="14" fillId="0" borderId="5" xfId="0" applyNumberFormat="1" applyFont="1" applyBorder="1" applyAlignment="1">
      <alignment horizontal="center" vertical="center"/>
    </xf>
    <xf numFmtId="4" fontId="14" fillId="0" borderId="44" xfId="0" applyNumberFormat="1" applyFont="1" applyBorder="1" applyAlignment="1">
      <alignment horizontal="center" vertical="center"/>
    </xf>
    <xf numFmtId="4" fontId="8" fillId="14" borderId="29" xfId="0" applyNumberFormat="1" applyFont="1" applyFill="1" applyBorder="1" applyAlignment="1">
      <alignment horizontal="center" vertical="center"/>
    </xf>
    <xf numFmtId="4" fontId="8" fillId="14" borderId="49" xfId="0" applyNumberFormat="1" applyFont="1" applyFill="1" applyBorder="1" applyAlignment="1">
      <alignment horizontal="center" vertical="center"/>
    </xf>
    <xf numFmtId="4" fontId="14" fillId="14" borderId="15" xfId="0" applyNumberFormat="1" applyFont="1" applyFill="1" applyBorder="1" applyAlignment="1">
      <alignment horizontal="center" vertical="center"/>
    </xf>
    <xf numFmtId="4" fontId="14" fillId="14" borderId="18" xfId="0" applyNumberFormat="1" applyFont="1" applyFill="1" applyBorder="1" applyAlignment="1">
      <alignment horizontal="center" vertical="center"/>
    </xf>
    <xf numFmtId="4" fontId="8" fillId="14" borderId="0" xfId="0" applyNumberFormat="1" applyFont="1" applyFill="1" applyBorder="1" applyAlignment="1">
      <alignment horizontal="center" vertical="center"/>
    </xf>
    <xf numFmtId="4" fontId="8" fillId="14" borderId="52" xfId="0" applyNumberFormat="1" applyFont="1" applyFill="1" applyBorder="1" applyAlignment="1">
      <alignment horizontal="center" vertical="center"/>
    </xf>
    <xf numFmtId="4" fontId="2" fillId="14" borderId="25" xfId="1" applyNumberFormat="1" applyFont="1" applyFill="1" applyBorder="1" applyAlignment="1" applyProtection="1">
      <alignment horizontal="center" vertical="center"/>
    </xf>
    <xf numFmtId="4" fontId="14" fillId="14" borderId="0" xfId="0" applyNumberFormat="1" applyFont="1" applyFill="1" applyBorder="1" applyAlignment="1">
      <alignment horizontal="center" vertical="center"/>
    </xf>
    <xf numFmtId="4" fontId="14" fillId="14" borderId="30" xfId="0" applyNumberFormat="1" applyFont="1" applyFill="1" applyBorder="1" applyAlignment="1">
      <alignment horizontal="center" vertical="center"/>
    </xf>
    <xf numFmtId="4" fontId="8" fillId="14" borderId="30" xfId="0" applyNumberFormat="1" applyFont="1" applyFill="1" applyBorder="1" applyAlignment="1">
      <alignment horizontal="center" vertical="center"/>
    </xf>
    <xf numFmtId="4" fontId="2" fillId="14" borderId="53" xfId="1" applyNumberFormat="1" applyFont="1" applyFill="1" applyBorder="1" applyAlignment="1" applyProtection="1">
      <alignment horizontal="center" vertical="center"/>
    </xf>
    <xf numFmtId="4" fontId="2" fillId="2" borderId="6" xfId="1" applyNumberFormat="1" applyFont="1" applyFill="1" applyBorder="1" applyAlignment="1" applyProtection="1">
      <alignment horizontal="center" vertical="center"/>
      <protection locked="0"/>
    </xf>
    <xf numFmtId="4" fontId="2" fillId="2" borderId="15" xfId="1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4" fontId="12" fillId="2" borderId="0" xfId="1" applyNumberFormat="1" applyFont="1" applyFill="1" applyBorder="1" applyAlignment="1" applyProtection="1">
      <alignment horizontal="center" vertical="center"/>
    </xf>
    <xf numFmtId="0" fontId="0" fillId="0" borderId="1" xfId="0" applyBorder="1"/>
    <xf numFmtId="4" fontId="48" fillId="2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/>
    </xf>
    <xf numFmtId="164" fontId="49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4" fontId="2" fillId="2" borderId="9" xfId="1" applyNumberFormat="1" applyFont="1" applyFill="1" applyBorder="1" applyAlignment="1" applyProtection="1">
      <alignment horizontal="center" vertical="center"/>
    </xf>
    <xf numFmtId="0" fontId="14" fillId="0" borderId="1" xfId="0" applyFont="1" applyBorder="1" applyAlignment="1">
      <alignment vertical="center" wrapText="1"/>
    </xf>
    <xf numFmtId="0" fontId="55" fillId="0" borderId="1" xfId="0" applyFont="1" applyBorder="1" applyAlignment="1">
      <alignment horizontal="center" vertical="center"/>
    </xf>
    <xf numFmtId="4" fontId="14" fillId="2" borderId="13" xfId="0" applyNumberFormat="1" applyFont="1" applyFill="1" applyBorder="1" applyAlignment="1">
      <alignment horizontal="center" vertical="center"/>
    </xf>
    <xf numFmtId="4" fontId="2" fillId="2" borderId="13" xfId="1" applyNumberFormat="1" applyFont="1" applyFill="1" applyBorder="1" applyAlignment="1" applyProtection="1">
      <alignment horizontal="center" vertical="center"/>
    </xf>
    <xf numFmtId="166" fontId="16" fillId="4" borderId="1" xfId="0" applyNumberFormat="1" applyFont="1" applyFill="1" applyBorder="1"/>
    <xf numFmtId="2" fontId="30" fillId="0" borderId="1" xfId="0" applyNumberFormat="1" applyFont="1" applyFill="1" applyBorder="1" applyProtection="1">
      <protection locked="0"/>
    </xf>
    <xf numFmtId="0" fontId="56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 applyProtection="1">
      <alignment vertical="center"/>
      <protection locked="0"/>
    </xf>
    <xf numFmtId="0" fontId="9" fillId="2" borderId="0" xfId="1" applyFont="1" applyFill="1" applyBorder="1" applyAlignment="1" applyProtection="1">
      <alignment vertical="center"/>
      <protection locked="0"/>
    </xf>
    <xf numFmtId="0" fontId="9" fillId="2" borderId="0" xfId="1" applyFont="1" applyFill="1" applyBorder="1" applyAlignment="1">
      <alignment vertical="center"/>
    </xf>
    <xf numFmtId="166" fontId="14" fillId="15" borderId="1" xfId="0" applyNumberFormat="1" applyFont="1" applyFill="1" applyBorder="1" applyProtection="1"/>
    <xf numFmtId="2" fontId="5" fillId="15" borderId="1" xfId="0" applyNumberFormat="1" applyFont="1" applyFill="1" applyBorder="1" applyProtection="1"/>
    <xf numFmtId="0" fontId="3" fillId="0" borderId="5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right" vertical="center"/>
    </xf>
    <xf numFmtId="0" fontId="8" fillId="2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4" fontId="2" fillId="2" borderId="38" xfId="1" applyNumberFormat="1" applyFont="1" applyFill="1" applyBorder="1" applyAlignment="1" applyProtection="1">
      <alignment horizontal="center" vertical="center"/>
    </xf>
    <xf numFmtId="0" fontId="26" fillId="2" borderId="12" xfId="1" applyFont="1" applyFill="1" applyBorder="1" applyAlignment="1">
      <alignment horizontal="center" vertical="center"/>
    </xf>
    <xf numFmtId="0" fontId="26" fillId="2" borderId="1" xfId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 wrapText="1"/>
    </xf>
    <xf numFmtId="0" fontId="26" fillId="2" borderId="13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9" fillId="0" borderId="0" xfId="1" applyFont="1" applyFill="1" applyBorder="1" applyAlignment="1">
      <alignment vertical="center"/>
    </xf>
    <xf numFmtId="4" fontId="17" fillId="2" borderId="0" xfId="1" applyNumberFormat="1" applyFont="1" applyFill="1" applyBorder="1" applyAlignment="1" applyProtection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/>
    </xf>
    <xf numFmtId="4" fontId="14" fillId="2" borderId="17" xfId="0" applyNumberFormat="1" applyFont="1" applyFill="1" applyBorder="1" applyAlignment="1">
      <alignment horizontal="center" vertical="center"/>
    </xf>
    <xf numFmtId="4" fontId="14" fillId="2" borderId="5" xfId="0" applyNumberFormat="1" applyFont="1" applyFill="1" applyBorder="1" applyAlignment="1">
      <alignment horizontal="center" vertical="center"/>
    </xf>
    <xf numFmtId="0" fontId="14" fillId="0" borderId="1" xfId="0" applyFont="1" applyBorder="1" applyAlignment="1" applyProtection="1">
      <alignment horizontal="center"/>
    </xf>
    <xf numFmtId="164" fontId="49" fillId="2" borderId="0" xfId="0" applyNumberFormat="1" applyFont="1" applyFill="1" applyBorder="1" applyAlignment="1">
      <alignment horizontal="center" vertical="center" wrapText="1"/>
    </xf>
    <xf numFmtId="4" fontId="14" fillId="5" borderId="15" xfId="0" applyNumberFormat="1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14" fillId="0" borderId="40" xfId="0" applyFont="1" applyBorder="1" applyAlignment="1">
      <alignment vertical="center" wrapText="1"/>
    </xf>
    <xf numFmtId="4" fontId="2" fillId="2" borderId="48" xfId="1" applyNumberFormat="1" applyFont="1" applyFill="1" applyBorder="1" applyAlignment="1" applyProtection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4" fillId="0" borderId="6" xfId="0" applyFont="1" applyBorder="1" applyAlignment="1">
      <alignment vertical="center" wrapText="1"/>
    </xf>
    <xf numFmtId="0" fontId="55" fillId="0" borderId="6" xfId="0" applyFont="1" applyBorder="1" applyAlignment="1">
      <alignment horizontal="center" vertical="center"/>
    </xf>
    <xf numFmtId="0" fontId="0" fillId="0" borderId="6" xfId="0" applyBorder="1"/>
    <xf numFmtId="4" fontId="14" fillId="2" borderId="35" xfId="0" applyNumberFormat="1" applyFont="1" applyFill="1" applyBorder="1" applyAlignment="1">
      <alignment horizontal="center" vertical="center"/>
    </xf>
    <xf numFmtId="4" fontId="14" fillId="2" borderId="34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5" fillId="0" borderId="0" xfId="0" applyFont="1" applyBorder="1" applyAlignment="1">
      <alignment horizontal="right"/>
    </xf>
    <xf numFmtId="0" fontId="8" fillId="2" borderId="40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 wrapText="1"/>
    </xf>
    <xf numFmtId="4" fontId="14" fillId="2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4" fillId="0" borderId="37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/>
    </xf>
    <xf numFmtId="4" fontId="2" fillId="2" borderId="22" xfId="1" applyNumberFormat="1" applyFont="1" applyFill="1" applyBorder="1" applyAlignment="1" applyProtection="1">
      <alignment horizontal="center" vertical="center"/>
    </xf>
    <xf numFmtId="4" fontId="2" fillId="2" borderId="47" xfId="1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/>
    </xf>
    <xf numFmtId="0" fontId="9" fillId="0" borderId="0" xfId="1" applyFont="1" applyFill="1" applyBorder="1" applyAlignment="1">
      <alignment horizontal="right" vertical="center"/>
    </xf>
    <xf numFmtId="49" fontId="2" fillId="2" borderId="19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/>
    </xf>
    <xf numFmtId="0" fontId="17" fillId="2" borderId="1" xfId="1" applyFont="1" applyFill="1" applyBorder="1" applyAlignment="1">
      <alignment horizontal="center" vertical="center" wrapText="1"/>
    </xf>
    <xf numFmtId="167" fontId="52" fillId="2" borderId="0" xfId="1" applyNumberFormat="1" applyFont="1" applyFill="1" applyBorder="1" applyAlignment="1" applyProtection="1">
      <alignment vertical="center"/>
      <protection locked="0"/>
    </xf>
    <xf numFmtId="4" fontId="10" fillId="2" borderId="0" xfId="1" applyNumberFormat="1" applyFont="1" applyFill="1" applyBorder="1" applyAlignment="1" applyProtection="1">
      <alignment horizontal="center" vertical="center"/>
      <protection locked="0"/>
    </xf>
    <xf numFmtId="4" fontId="10" fillId="2" borderId="0" xfId="1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/>
    </xf>
    <xf numFmtId="167" fontId="8" fillId="2" borderId="0" xfId="0" applyNumberFormat="1" applyFont="1" applyFill="1" applyBorder="1"/>
    <xf numFmtId="0" fontId="3" fillId="2" borderId="4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2" fillId="2" borderId="6" xfId="1" applyFont="1" applyFill="1" applyBorder="1" applyAlignment="1">
      <alignment horizontal="center" vertical="center" wrapText="1"/>
    </xf>
    <xf numFmtId="0" fontId="12" fillId="2" borderId="35" xfId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4" fontId="14" fillId="7" borderId="1" xfId="0" applyNumberFormat="1" applyFont="1" applyFill="1" applyBorder="1"/>
    <xf numFmtId="4" fontId="25" fillId="2" borderId="1" xfId="1" applyNumberFormat="1" applyFont="1" applyFill="1" applyBorder="1" applyAlignment="1" applyProtection="1">
      <alignment horizontal="center" vertical="center"/>
      <protection locked="0"/>
    </xf>
    <xf numFmtId="165" fontId="9" fillId="2" borderId="0" xfId="1" applyNumberFormat="1" applyFont="1" applyFill="1" applyBorder="1" applyAlignment="1" applyProtection="1">
      <alignment horizontal="right" vertical="center"/>
    </xf>
    <xf numFmtId="3" fontId="2" fillId="2" borderId="0" xfId="1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vertical="center" wrapText="1"/>
    </xf>
    <xf numFmtId="0" fontId="12" fillId="2" borderId="0" xfId="1" applyFont="1" applyFill="1" applyBorder="1" applyAlignment="1">
      <alignment horizontal="center" vertical="center" wrapText="1"/>
    </xf>
    <xf numFmtId="1" fontId="26" fillId="2" borderId="0" xfId="1" applyNumberFormat="1" applyFont="1" applyFill="1" applyBorder="1" applyAlignment="1">
      <alignment horizontal="center" wrapText="1"/>
    </xf>
    <xf numFmtId="4" fontId="14" fillId="2" borderId="0" xfId="0" quotePrefix="1" applyNumberFormat="1" applyFont="1" applyFill="1" applyBorder="1" applyAlignment="1">
      <alignment horizontal="center"/>
    </xf>
    <xf numFmtId="4" fontId="5" fillId="2" borderId="0" xfId="0" applyNumberFormat="1" applyFont="1" applyFill="1" applyBorder="1"/>
    <xf numFmtId="4" fontId="14" fillId="2" borderId="0" xfId="0" applyNumberFormat="1" applyFont="1" applyFill="1" applyBorder="1" applyProtection="1">
      <protection locked="0"/>
    </xf>
    <xf numFmtId="4" fontId="14" fillId="2" borderId="0" xfId="0" applyNumberFormat="1" applyFont="1" applyFill="1" applyBorder="1" applyAlignment="1">
      <alignment horizontal="center"/>
    </xf>
    <xf numFmtId="4" fontId="14" fillId="2" borderId="0" xfId="0" applyNumberFormat="1" applyFont="1" applyFill="1" applyBorder="1" applyAlignment="1" applyProtection="1">
      <alignment horizontal="center"/>
      <protection locked="0"/>
    </xf>
    <xf numFmtId="4" fontId="5" fillId="2" borderId="0" xfId="0" applyNumberFormat="1" applyFont="1" applyFill="1" applyBorder="1" applyProtection="1">
      <protection locked="0"/>
    </xf>
    <xf numFmtId="4" fontId="5" fillId="2" borderId="0" xfId="0" applyNumberFormat="1" applyFont="1" applyFill="1" applyBorder="1" applyAlignment="1">
      <alignment horizontal="center"/>
    </xf>
    <xf numFmtId="16" fontId="26" fillId="2" borderId="1" xfId="1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16" fontId="26" fillId="2" borderId="1" xfId="1" applyNumberFormat="1" applyFont="1" applyFill="1" applyBorder="1" applyAlignment="1">
      <alignment horizontal="left" wrapText="1" indent="2"/>
    </xf>
    <xf numFmtId="16" fontId="40" fillId="2" borderId="1" xfId="1" applyNumberFormat="1" applyFont="1" applyFill="1" applyBorder="1" applyAlignment="1">
      <alignment horizontal="left" wrapText="1" indent="2"/>
    </xf>
    <xf numFmtId="0" fontId="2" fillId="2" borderId="0" xfId="1" applyFont="1" applyFill="1" applyBorder="1" applyAlignment="1">
      <alignment horizontal="center" vertical="center" wrapText="1"/>
    </xf>
    <xf numFmtId="4" fontId="9" fillId="2" borderId="0" xfId="1" applyNumberFormat="1" applyFont="1" applyFill="1" applyBorder="1" applyAlignment="1">
      <alignment horizontal="center" vertical="center" wrapText="1"/>
    </xf>
    <xf numFmtId="4" fontId="2" fillId="2" borderId="0" xfId="1" applyNumberFormat="1" applyFont="1" applyFill="1" applyBorder="1" applyAlignment="1">
      <alignment horizontal="right" vertical="center" indent="1"/>
    </xf>
    <xf numFmtId="165" fontId="16" fillId="2" borderId="0" xfId="0" applyNumberFormat="1" applyFont="1" applyFill="1" applyBorder="1"/>
    <xf numFmtId="165" fontId="16" fillId="2" borderId="0" xfId="0" applyNumberFormat="1" applyFont="1" applyFill="1" applyBorder="1" applyAlignment="1">
      <alignment horizontal="center"/>
    </xf>
    <xf numFmtId="2" fontId="2" fillId="2" borderId="0" xfId="1" applyNumberFormat="1" applyFont="1" applyFill="1" applyBorder="1" applyAlignment="1">
      <alignment horizontal="center" vertical="center"/>
    </xf>
    <xf numFmtId="165" fontId="16" fillId="8" borderId="13" xfId="0" applyNumberFormat="1" applyFont="1" applyFill="1" applyBorder="1"/>
    <xf numFmtId="165" fontId="16" fillId="8" borderId="18" xfId="0" applyNumberFormat="1" applyFont="1" applyFill="1" applyBorder="1"/>
    <xf numFmtId="4" fontId="14" fillId="10" borderId="44" xfId="0" applyNumberFormat="1" applyFont="1" applyFill="1" applyBorder="1" applyAlignment="1">
      <alignment horizontal="center" vertical="center"/>
    </xf>
    <xf numFmtId="4" fontId="14" fillId="10" borderId="15" xfId="0" applyNumberFormat="1" applyFont="1" applyFill="1" applyBorder="1" applyAlignment="1">
      <alignment horizontal="center" vertical="center"/>
    </xf>
    <xf numFmtId="4" fontId="10" fillId="0" borderId="1" xfId="1" applyNumberFormat="1" applyFont="1" applyFill="1" applyBorder="1" applyAlignment="1" applyProtection="1">
      <alignment horizontal="center" vertical="center"/>
      <protection locked="0"/>
    </xf>
    <xf numFmtId="165" fontId="9" fillId="4" borderId="1" xfId="1" applyNumberFormat="1" applyFont="1" applyFill="1" applyBorder="1" applyAlignment="1" applyProtection="1">
      <alignment horizontal="center" vertical="center"/>
    </xf>
    <xf numFmtId="0" fontId="3" fillId="0" borderId="20" xfId="0" applyFont="1" applyBorder="1" applyAlignment="1">
      <alignment horizontal="center" vertical="center"/>
    </xf>
    <xf numFmtId="4" fontId="14" fillId="2" borderId="0" xfId="0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/>
    </xf>
    <xf numFmtId="49" fontId="2" fillId="2" borderId="19" xfId="1" applyNumberFormat="1" applyFont="1" applyFill="1" applyBorder="1" applyAlignment="1">
      <alignment horizontal="center" vertical="center"/>
    </xf>
    <xf numFmtId="49" fontId="2" fillId="2" borderId="12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2" borderId="1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/>
    </xf>
    <xf numFmtId="0" fontId="26" fillId="2" borderId="12" xfId="1" applyFont="1" applyFill="1" applyBorder="1" applyAlignment="1">
      <alignment horizontal="center" vertical="center" wrapText="1"/>
    </xf>
    <xf numFmtId="16" fontId="26" fillId="2" borderId="12" xfId="1" applyNumberFormat="1" applyFont="1" applyFill="1" applyBorder="1" applyAlignment="1">
      <alignment horizontal="left" wrapText="1" indent="2"/>
    </xf>
    <xf numFmtId="16" fontId="26" fillId="2" borderId="14" xfId="1" applyNumberFormat="1" applyFont="1" applyFill="1" applyBorder="1" applyAlignment="1">
      <alignment horizontal="left" wrapText="1" indent="2"/>
    </xf>
    <xf numFmtId="0" fontId="2" fillId="0" borderId="1" xfId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left" wrapText="1"/>
    </xf>
    <xf numFmtId="166" fontId="14" fillId="0" borderId="0" xfId="0" applyNumberFormat="1" applyFont="1" applyFill="1" applyBorder="1" applyProtection="1">
      <protection locked="0"/>
    </xf>
    <xf numFmtId="0" fontId="8" fillId="0" borderId="0" xfId="0" applyFont="1" applyBorder="1" applyProtection="1">
      <protection locked="0"/>
    </xf>
    <xf numFmtId="0" fontId="26" fillId="0" borderId="0" xfId="0" applyFont="1" applyFill="1" applyBorder="1"/>
    <xf numFmtId="0" fontId="8" fillId="0" borderId="0" xfId="0" applyFont="1" applyFill="1" applyBorder="1" applyProtection="1">
      <protection locked="0"/>
    </xf>
    <xf numFmtId="0" fontId="26" fillId="2" borderId="0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166" fontId="2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1" applyFont="1" applyFill="1" applyBorder="1" applyAlignment="1">
      <alignment vertical="center"/>
    </xf>
    <xf numFmtId="0" fontId="52" fillId="0" borderId="0" xfId="1" applyFont="1" applyFill="1" applyBorder="1" applyAlignment="1">
      <alignment vertical="center" wrapText="1"/>
    </xf>
    <xf numFmtId="0" fontId="49" fillId="0" borderId="0" xfId="1" applyFont="1" applyFill="1" applyBorder="1" applyAlignment="1">
      <alignment vertical="center"/>
    </xf>
    <xf numFmtId="166" fontId="14" fillId="0" borderId="0" xfId="0" applyNumberFormat="1" applyFont="1" applyFill="1" applyBorder="1" applyProtection="1"/>
    <xf numFmtId="0" fontId="64" fillId="0" borderId="0" xfId="1" applyFont="1" applyFill="1" applyBorder="1" applyAlignment="1">
      <alignment horizontal="left" vertical="center" wrapText="1"/>
    </xf>
    <xf numFmtId="4" fontId="52" fillId="0" borderId="0" xfId="1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wrapText="1"/>
      <protection locked="0"/>
    </xf>
    <xf numFmtId="166" fontId="8" fillId="0" borderId="0" xfId="0" applyNumberFormat="1" applyFont="1" applyFill="1" applyBorder="1" applyProtection="1">
      <protection locked="0"/>
    </xf>
    <xf numFmtId="166" fontId="14" fillId="2" borderId="0" xfId="0" applyNumberFormat="1" applyFont="1" applyFill="1" applyBorder="1" applyProtection="1">
      <protection locked="0"/>
    </xf>
    <xf numFmtId="0" fontId="14" fillId="2" borderId="0" xfId="0" applyFont="1" applyFill="1" applyBorder="1" applyAlignment="1">
      <alignment horizontal="center"/>
    </xf>
    <xf numFmtId="0" fontId="64" fillId="2" borderId="0" xfId="1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left" wrapText="1"/>
    </xf>
    <xf numFmtId="0" fontId="14" fillId="4" borderId="3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66" fillId="0" borderId="0" xfId="1" applyFont="1" applyFill="1" applyBorder="1" applyAlignment="1" applyProtection="1">
      <alignment horizontal="center" vertical="center"/>
    </xf>
    <xf numFmtId="166" fontId="66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66" fillId="2" borderId="0" xfId="1" applyFont="1" applyFill="1" applyBorder="1" applyAlignment="1" applyProtection="1">
      <alignment horizontal="center" vertical="center" wrapText="1"/>
      <protection locked="0"/>
    </xf>
    <xf numFmtId="4" fontId="2" fillId="4" borderId="5" xfId="1" applyNumberFormat="1" applyFont="1" applyFill="1" applyBorder="1" applyAlignment="1">
      <alignment horizontal="center" vertical="center" wrapText="1"/>
    </xf>
    <xf numFmtId="165" fontId="2" fillId="4" borderId="5" xfId="1" applyNumberFormat="1" applyFont="1" applyFill="1" applyBorder="1" applyAlignment="1" applyProtection="1">
      <alignment horizontal="right" vertical="center"/>
    </xf>
    <xf numFmtId="0" fontId="41" fillId="2" borderId="19" xfId="1" applyFont="1" applyFill="1" applyBorder="1" applyAlignment="1">
      <alignment horizontal="left" vertical="center"/>
    </xf>
    <xf numFmtId="4" fontId="10" fillId="4" borderId="20" xfId="1" applyNumberFormat="1" applyFont="1" applyFill="1" applyBorder="1" applyAlignment="1">
      <alignment horizontal="center" vertical="center"/>
    </xf>
    <xf numFmtId="165" fontId="9" fillId="4" borderId="20" xfId="1" applyNumberFormat="1" applyFont="1" applyFill="1" applyBorder="1" applyAlignment="1" applyProtection="1">
      <alignment horizontal="right" vertical="center"/>
    </xf>
    <xf numFmtId="165" fontId="9" fillId="4" borderId="21" xfId="1" applyNumberFormat="1" applyFont="1" applyFill="1" applyBorder="1" applyAlignment="1" applyProtection="1">
      <alignment horizontal="right" vertical="center"/>
    </xf>
    <xf numFmtId="16" fontId="17" fillId="2" borderId="12" xfId="1" applyNumberFormat="1" applyFont="1" applyFill="1" applyBorder="1" applyAlignment="1">
      <alignment horizontal="left" vertical="center"/>
    </xf>
    <xf numFmtId="165" fontId="9" fillId="4" borderId="13" xfId="1" applyNumberFormat="1" applyFont="1" applyFill="1" applyBorder="1" applyAlignment="1" applyProtection="1">
      <alignment horizontal="center" vertical="center"/>
    </xf>
    <xf numFmtId="14" fontId="17" fillId="2" borderId="12" xfId="1" applyNumberFormat="1" applyFont="1" applyFill="1" applyBorder="1" applyAlignment="1">
      <alignment horizontal="left" vertical="center"/>
    </xf>
    <xf numFmtId="0" fontId="17" fillId="2" borderId="12" xfId="1" applyFont="1" applyFill="1" applyBorder="1" applyAlignment="1">
      <alignment horizontal="left" vertical="center"/>
    </xf>
    <xf numFmtId="4" fontId="2" fillId="0" borderId="15" xfId="1" applyNumberFormat="1" applyFont="1" applyFill="1" applyBorder="1" applyAlignment="1" applyProtection="1">
      <alignment horizontal="center" vertical="center"/>
      <protection locked="0"/>
    </xf>
    <xf numFmtId="165" fontId="9" fillId="4" borderId="15" xfId="1" applyNumberFormat="1" applyFont="1" applyFill="1" applyBorder="1" applyAlignment="1" applyProtection="1">
      <alignment horizontal="center" vertical="center"/>
    </xf>
    <xf numFmtId="165" fontId="9" fillId="4" borderId="18" xfId="1" applyNumberFormat="1" applyFont="1" applyFill="1" applyBorder="1" applyAlignment="1" applyProtection="1">
      <alignment horizontal="center" vertical="center"/>
    </xf>
    <xf numFmtId="165" fontId="9" fillId="7" borderId="20" xfId="1" applyNumberFormat="1" applyFont="1" applyFill="1" applyBorder="1" applyAlignment="1" applyProtection="1">
      <alignment horizontal="center" vertical="center"/>
    </xf>
    <xf numFmtId="165" fontId="9" fillId="7" borderId="21" xfId="1" applyNumberFormat="1" applyFont="1" applyFill="1" applyBorder="1" applyAlignment="1" applyProtection="1">
      <alignment horizontal="center" vertical="center"/>
    </xf>
    <xf numFmtId="14" fontId="20" fillId="2" borderId="12" xfId="1" applyNumberFormat="1" applyFont="1" applyFill="1" applyBorder="1" applyAlignment="1">
      <alignment horizontal="left" vertical="center"/>
    </xf>
    <xf numFmtId="14" fontId="41" fillId="2" borderId="12" xfId="1" applyNumberFormat="1" applyFont="1" applyFill="1" applyBorder="1" applyAlignment="1">
      <alignment horizontal="left" vertical="center"/>
    </xf>
    <xf numFmtId="14" fontId="41" fillId="2" borderId="14" xfId="1" applyNumberFormat="1" applyFont="1" applyFill="1" applyBorder="1" applyAlignment="1">
      <alignment horizontal="left" vertical="center"/>
    </xf>
    <xf numFmtId="3" fontId="2" fillId="2" borderId="13" xfId="1" applyNumberFormat="1" applyFont="1" applyFill="1" applyBorder="1" applyAlignment="1">
      <alignment horizontal="center" vertical="center"/>
    </xf>
    <xf numFmtId="49" fontId="2" fillId="2" borderId="33" xfId="1" applyNumberFormat="1" applyFont="1" applyFill="1" applyBorder="1" applyAlignment="1">
      <alignment horizontal="left" vertical="center"/>
    </xf>
    <xf numFmtId="165" fontId="2" fillId="4" borderId="44" xfId="1" applyNumberFormat="1" applyFont="1" applyFill="1" applyBorder="1" applyAlignment="1" applyProtection="1">
      <alignment horizontal="right" vertical="center"/>
    </xf>
    <xf numFmtId="4" fontId="2" fillId="2" borderId="0" xfId="1" applyNumberFormat="1" applyFont="1" applyFill="1" applyBorder="1" applyAlignment="1" applyProtection="1">
      <alignment vertical="center"/>
    </xf>
    <xf numFmtId="164" fontId="2" fillId="11" borderId="1" xfId="1" applyNumberFormat="1" applyFont="1" applyFill="1" applyBorder="1" applyAlignment="1">
      <alignment horizontal="right" vertical="center" wrapText="1" indent="2"/>
    </xf>
    <xf numFmtId="164" fontId="33" fillId="11" borderId="1" xfId="1" quotePrefix="1" applyNumberFormat="1" applyFont="1" applyFill="1" applyBorder="1" applyAlignment="1">
      <alignment horizontal="right" vertical="center" wrapText="1" indent="2"/>
    </xf>
    <xf numFmtId="164" fontId="33" fillId="11" borderId="13" xfId="1" quotePrefix="1" applyNumberFormat="1" applyFont="1" applyFill="1" applyBorder="1" applyAlignment="1">
      <alignment horizontal="right" vertical="center" wrapText="1" indent="2"/>
    </xf>
    <xf numFmtId="4" fontId="14" fillId="11" borderId="1" xfId="0" applyNumberFormat="1" applyFont="1" applyFill="1" applyBorder="1" applyAlignment="1">
      <alignment horizontal="center"/>
    </xf>
    <xf numFmtId="4" fontId="5" fillId="7" borderId="1" xfId="0" applyNumberFormat="1" applyFont="1" applyFill="1" applyBorder="1" applyAlignment="1">
      <alignment horizontal="center"/>
    </xf>
    <xf numFmtId="4" fontId="14" fillId="7" borderId="1" xfId="0" quotePrefix="1" applyNumberFormat="1" applyFont="1" applyFill="1" applyBorder="1" applyAlignment="1">
      <alignment horizontal="center"/>
    </xf>
    <xf numFmtId="4" fontId="14" fillId="7" borderId="1" xfId="0" applyNumberFormat="1" applyFont="1" applyFill="1" applyBorder="1" applyAlignment="1">
      <alignment horizontal="center"/>
    </xf>
    <xf numFmtId="4" fontId="5" fillId="7" borderId="5" xfId="0" applyNumberFormat="1" applyFont="1" applyFill="1" applyBorder="1"/>
    <xf numFmtId="4" fontId="14" fillId="0" borderId="5" xfId="0" applyNumberFormat="1" applyFont="1" applyBorder="1" applyProtection="1">
      <protection locked="0"/>
    </xf>
    <xf numFmtId="16" fontId="40" fillId="2" borderId="19" xfId="1" applyNumberFormat="1" applyFont="1" applyFill="1" applyBorder="1" applyAlignment="1">
      <alignment horizontal="left" wrapText="1" indent="2"/>
    </xf>
    <xf numFmtId="4" fontId="5" fillId="7" borderId="20" xfId="0" applyNumberFormat="1" applyFont="1" applyFill="1" applyBorder="1"/>
    <xf numFmtId="4" fontId="5" fillId="7" borderId="21" xfId="0" applyNumberFormat="1" applyFont="1" applyFill="1" applyBorder="1"/>
    <xf numFmtId="4" fontId="5" fillId="7" borderId="13" xfId="0" applyNumberFormat="1" applyFont="1" applyFill="1" applyBorder="1" applyProtection="1">
      <protection locked="0"/>
    </xf>
    <xf numFmtId="4" fontId="5" fillId="7" borderId="15" xfId="0" applyNumberFormat="1" applyFont="1" applyFill="1" applyBorder="1"/>
    <xf numFmtId="4" fontId="2" fillId="0" borderId="15" xfId="0" applyNumberFormat="1" applyFont="1" applyBorder="1" applyProtection="1">
      <protection locked="0"/>
    </xf>
    <xf numFmtId="16" fontId="41" fillId="2" borderId="19" xfId="1" applyNumberFormat="1" applyFont="1" applyFill="1" applyBorder="1" applyAlignment="1">
      <alignment horizontal="left" vertical="center" indent="2"/>
    </xf>
    <xf numFmtId="16" fontId="17" fillId="2" borderId="12" xfId="1" applyNumberFormat="1" applyFont="1" applyFill="1" applyBorder="1" applyAlignment="1">
      <alignment horizontal="left" vertical="center" indent="2"/>
    </xf>
    <xf numFmtId="16" fontId="17" fillId="2" borderId="14" xfId="1" applyNumberFormat="1" applyFont="1" applyFill="1" applyBorder="1" applyAlignment="1">
      <alignment horizontal="left" vertical="center" indent="2"/>
    </xf>
    <xf numFmtId="4" fontId="14" fillId="7" borderId="15" xfId="0" applyNumberFormat="1" applyFont="1" applyFill="1" applyBorder="1" applyAlignment="1">
      <alignment horizontal="center"/>
    </xf>
    <xf numFmtId="16" fontId="17" fillId="2" borderId="7" xfId="1" applyNumberFormat="1" applyFont="1" applyFill="1" applyBorder="1" applyAlignment="1">
      <alignment horizontal="left" vertical="center" indent="2"/>
    </xf>
    <xf numFmtId="4" fontId="5" fillId="2" borderId="8" xfId="0" applyNumberFormat="1" applyFont="1" applyFill="1" applyBorder="1" applyProtection="1">
      <protection locked="0"/>
    </xf>
    <xf numFmtId="4" fontId="14" fillId="7" borderId="8" xfId="0" applyNumberFormat="1" applyFont="1" applyFill="1" applyBorder="1" applyAlignment="1">
      <alignment horizontal="center"/>
    </xf>
    <xf numFmtId="4" fontId="14" fillId="7" borderId="9" xfId="0" applyNumberFormat="1" applyFont="1" applyFill="1" applyBorder="1" applyAlignment="1">
      <alignment horizontal="center"/>
    </xf>
    <xf numFmtId="16" fontId="40" fillId="2" borderId="5" xfId="1" applyNumberFormat="1" applyFont="1" applyFill="1" applyBorder="1" applyAlignment="1">
      <alignment horizontal="left" wrapText="1" indent="2"/>
    </xf>
    <xf numFmtId="4" fontId="5" fillId="7" borderId="5" xfId="0" applyNumberFormat="1" applyFont="1" applyFill="1" applyBorder="1" applyAlignment="1">
      <alignment horizontal="center"/>
    </xf>
    <xf numFmtId="4" fontId="5" fillId="7" borderId="13" xfId="0" applyNumberFormat="1" applyFont="1" applyFill="1" applyBorder="1" applyAlignment="1">
      <alignment horizontal="center"/>
    </xf>
    <xf numFmtId="4" fontId="5" fillId="7" borderId="13" xfId="0" applyNumberFormat="1" applyFont="1" applyFill="1" applyBorder="1"/>
    <xf numFmtId="4" fontId="2" fillId="0" borderId="15" xfId="0" applyNumberFormat="1" applyFont="1" applyFill="1" applyBorder="1" applyProtection="1">
      <protection locked="0"/>
    </xf>
    <xf numFmtId="0" fontId="14" fillId="4" borderId="5" xfId="0" applyFont="1" applyFill="1" applyBorder="1" applyAlignment="1">
      <alignment horizontal="center"/>
    </xf>
    <xf numFmtId="166" fontId="30" fillId="4" borderId="5" xfId="0" applyNumberFormat="1" applyFont="1" applyFill="1" applyBorder="1"/>
    <xf numFmtId="166" fontId="30" fillId="15" borderId="5" xfId="0" applyNumberFormat="1" applyFont="1" applyFill="1" applyBorder="1" applyProtection="1"/>
    <xf numFmtId="0" fontId="5" fillId="0" borderId="20" xfId="0" applyFont="1" applyFill="1" applyBorder="1" applyAlignment="1">
      <alignment horizontal="center"/>
    </xf>
    <xf numFmtId="166" fontId="5" fillId="0" borderId="20" xfId="0" applyNumberFormat="1" applyFont="1" applyFill="1" applyBorder="1"/>
    <xf numFmtId="166" fontId="30" fillId="0" borderId="20" xfId="0" applyNumberFormat="1" applyFont="1" applyFill="1" applyBorder="1"/>
    <xf numFmtId="166" fontId="5" fillId="15" borderId="20" xfId="0" applyNumberFormat="1" applyFont="1" applyFill="1" applyBorder="1" applyProtection="1"/>
    <xf numFmtId="166" fontId="5" fillId="15" borderId="21" xfId="0" applyNumberFormat="1" applyFont="1" applyFill="1" applyBorder="1" applyProtection="1"/>
    <xf numFmtId="166" fontId="14" fillId="15" borderId="13" xfId="0" applyNumberFormat="1" applyFont="1" applyFill="1" applyBorder="1" applyProtection="1"/>
    <xf numFmtId="0" fontId="14" fillId="4" borderId="15" xfId="0" applyFont="1" applyFill="1" applyBorder="1" applyAlignment="1">
      <alignment horizontal="center"/>
    </xf>
    <xf numFmtId="166" fontId="5" fillId="4" borderId="15" xfId="0" applyNumberFormat="1" applyFont="1" applyFill="1" applyBorder="1"/>
    <xf numFmtId="166" fontId="5" fillId="15" borderId="15" xfId="0" applyNumberFormat="1" applyFont="1" applyFill="1" applyBorder="1" applyProtection="1"/>
    <xf numFmtId="166" fontId="5" fillId="15" borderId="18" xfId="0" applyNumberFormat="1" applyFont="1" applyFill="1" applyBorder="1" applyProtection="1"/>
    <xf numFmtId="0" fontId="14" fillId="2" borderId="15" xfId="0" applyFont="1" applyFill="1" applyBorder="1" applyAlignment="1">
      <alignment horizontal="center"/>
    </xf>
    <xf numFmtId="166" fontId="5" fillId="15" borderId="15" xfId="0" applyNumberFormat="1" applyFont="1" applyFill="1" applyBorder="1"/>
    <xf numFmtId="166" fontId="5" fillId="15" borderId="18" xfId="0" applyNumberFormat="1" applyFont="1" applyFill="1" applyBorder="1"/>
    <xf numFmtId="0" fontId="5" fillId="0" borderId="8" xfId="0" applyFont="1" applyFill="1" applyBorder="1" applyAlignment="1">
      <alignment horizontal="center"/>
    </xf>
    <xf numFmtId="166" fontId="5" fillId="0" borderId="8" xfId="0" applyNumberFormat="1" applyFont="1" applyFill="1" applyBorder="1" applyProtection="1">
      <protection locked="0"/>
    </xf>
    <xf numFmtId="166" fontId="5" fillId="15" borderId="8" xfId="0" applyNumberFormat="1" applyFont="1" applyFill="1" applyBorder="1" applyProtection="1"/>
    <xf numFmtId="166" fontId="5" fillId="15" borderId="9" xfId="0" applyNumberFormat="1" applyFont="1" applyFill="1" applyBorder="1" applyProtection="1"/>
    <xf numFmtId="0" fontId="5" fillId="3" borderId="8" xfId="0" applyFont="1" applyFill="1" applyBorder="1" applyAlignment="1">
      <alignment horizontal="center"/>
    </xf>
    <xf numFmtId="0" fontId="45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2" fontId="5" fillId="15" borderId="13" xfId="0" applyNumberFormat="1" applyFont="1" applyFill="1" applyBorder="1" applyProtection="1"/>
    <xf numFmtId="166" fontId="30" fillId="15" borderId="44" xfId="0" applyNumberFormat="1" applyFont="1" applyFill="1" applyBorder="1" applyProtection="1"/>
    <xf numFmtId="0" fontId="14" fillId="0" borderId="5" xfId="0" applyFont="1" applyBorder="1" applyAlignment="1">
      <alignment horizontal="center"/>
    </xf>
    <xf numFmtId="0" fontId="8" fillId="0" borderId="20" xfId="0" applyFont="1" applyBorder="1"/>
    <xf numFmtId="0" fontId="53" fillId="0" borderId="20" xfId="0" applyFont="1" applyBorder="1"/>
    <xf numFmtId="0" fontId="23" fillId="0" borderId="20" xfId="0" applyFont="1" applyBorder="1"/>
    <xf numFmtId="0" fontId="23" fillId="0" borderId="21" xfId="0" applyFont="1" applyBorder="1"/>
    <xf numFmtId="166" fontId="30" fillId="4" borderId="15" xfId="0" applyNumberFormat="1" applyFont="1" applyFill="1" applyBorder="1"/>
    <xf numFmtId="166" fontId="30" fillId="15" borderId="15" xfId="0" applyNumberFormat="1" applyFont="1" applyFill="1" applyBorder="1" applyProtection="1"/>
    <xf numFmtId="166" fontId="30" fillId="15" borderId="18" xfId="0" applyNumberFormat="1" applyFont="1" applyFill="1" applyBorder="1" applyProtection="1"/>
    <xf numFmtId="0" fontId="5" fillId="0" borderId="20" xfId="0" applyFont="1" applyBorder="1" applyAlignment="1">
      <alignment wrapText="1"/>
    </xf>
    <xf numFmtId="0" fontId="30" fillId="0" borderId="20" xfId="0" applyFont="1" applyBorder="1" applyAlignment="1">
      <alignment wrapText="1"/>
    </xf>
    <xf numFmtId="0" fontId="5" fillId="15" borderId="20" xfId="0" applyFont="1" applyFill="1" applyBorder="1" applyAlignment="1" applyProtection="1">
      <alignment wrapText="1"/>
    </xf>
    <xf numFmtId="0" fontId="5" fillId="15" borderId="21" xfId="0" applyFont="1" applyFill="1" applyBorder="1" applyAlignment="1" applyProtection="1">
      <alignment wrapText="1"/>
    </xf>
    <xf numFmtId="0" fontId="14" fillId="0" borderId="44" xfId="0" applyFont="1" applyBorder="1" applyAlignment="1">
      <alignment horizontal="center"/>
    </xf>
    <xf numFmtId="0" fontId="5" fillId="3" borderId="37" xfId="0" applyFont="1" applyFill="1" applyBorder="1" applyAlignment="1">
      <alignment horizontal="center"/>
    </xf>
    <xf numFmtId="166" fontId="5" fillId="3" borderId="37" xfId="0" applyNumberFormat="1" applyFont="1" applyFill="1" applyBorder="1"/>
    <xf numFmtId="166" fontId="30" fillId="3" borderId="37" xfId="0" applyNumberFormat="1" applyFont="1" applyFill="1" applyBorder="1"/>
    <xf numFmtId="166" fontId="5" fillId="15" borderId="37" xfId="0" applyNumberFormat="1" applyFont="1" applyFill="1" applyBorder="1" applyProtection="1"/>
    <xf numFmtId="166" fontId="5" fillId="15" borderId="38" xfId="0" applyNumberFormat="1" applyFont="1" applyFill="1" applyBorder="1" applyProtection="1"/>
    <xf numFmtId="0" fontId="9" fillId="2" borderId="0" xfId="1" applyFont="1" applyFill="1" applyBorder="1" applyAlignment="1">
      <alignment horizontal="right" vertical="center"/>
    </xf>
    <xf numFmtId="4" fontId="10" fillId="2" borderId="25" xfId="1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 applyProtection="1">
      <alignment horizontal="right"/>
      <protection locked="0"/>
    </xf>
    <xf numFmtId="0" fontId="8" fillId="0" borderId="12" xfId="0" applyFont="1" applyBorder="1"/>
    <xf numFmtId="4" fontId="14" fillId="0" borderId="13" xfId="0" applyNumberFormat="1" applyFont="1" applyFill="1" applyBorder="1" applyAlignment="1" applyProtection="1">
      <alignment horizontal="right"/>
      <protection locked="0"/>
    </xf>
    <xf numFmtId="0" fontId="8" fillId="0" borderId="14" xfId="0" applyFont="1" applyBorder="1"/>
    <xf numFmtId="4" fontId="14" fillId="0" borderId="15" xfId="0" applyNumberFormat="1" applyFont="1" applyFill="1" applyBorder="1" applyAlignment="1" applyProtection="1">
      <alignment horizontal="right"/>
      <protection locked="0"/>
    </xf>
    <xf numFmtId="4" fontId="14" fillId="0" borderId="18" xfId="0" applyNumberFormat="1" applyFont="1" applyFill="1" applyBorder="1" applyAlignment="1" applyProtection="1">
      <alignment horizontal="right"/>
      <protection locked="0"/>
    </xf>
    <xf numFmtId="0" fontId="3" fillId="0" borderId="13" xfId="0" applyFont="1" applyBorder="1" applyAlignment="1">
      <alignment horizontal="center" vertical="center" wrapText="1"/>
    </xf>
    <xf numFmtId="4" fontId="14" fillId="7" borderId="12" xfId="0" applyNumberFormat="1" applyFont="1" applyFill="1" applyBorder="1" applyAlignment="1">
      <alignment horizontal="right"/>
    </xf>
    <xf numFmtId="4" fontId="14" fillId="7" borderId="14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70" fillId="2" borderId="0" xfId="0" applyFont="1" applyFill="1" applyBorder="1"/>
    <xf numFmtId="0" fontId="10" fillId="0" borderId="0" xfId="1" applyFont="1" applyFill="1" applyBorder="1" applyAlignment="1">
      <alignment vertical="center"/>
    </xf>
    <xf numFmtId="166" fontId="5" fillId="2" borderId="0" xfId="0" applyNumberFormat="1" applyFont="1" applyFill="1" applyBorder="1" applyProtection="1">
      <protection locked="0"/>
    </xf>
    <xf numFmtId="0" fontId="10" fillId="2" borderId="0" xfId="1" applyFont="1" applyFill="1" applyBorder="1" applyAlignment="1">
      <alignment vertical="center"/>
    </xf>
    <xf numFmtId="0" fontId="26" fillId="2" borderId="0" xfId="0" applyFont="1" applyFill="1"/>
    <xf numFmtId="0" fontId="41" fillId="2" borderId="7" xfId="1" applyFont="1" applyFill="1" applyBorder="1" applyAlignment="1">
      <alignment horizontal="left" vertical="center"/>
    </xf>
    <xf numFmtId="4" fontId="2" fillId="2" borderId="9" xfId="1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/>
    <xf numFmtId="0" fontId="14" fillId="0" borderId="1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4" fontId="36" fillId="2" borderId="13" xfId="1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14" fillId="12" borderId="15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36" fillId="2" borderId="12" xfId="1" applyFont="1" applyFill="1" applyBorder="1" applyAlignment="1">
      <alignment vertical="center"/>
    </xf>
    <xf numFmtId="4" fontId="37" fillId="8" borderId="1" xfId="1" applyNumberFormat="1" applyFont="1" applyFill="1" applyBorder="1" applyAlignment="1">
      <alignment horizontal="center" vertical="center"/>
    </xf>
    <xf numFmtId="4" fontId="37" fillId="8" borderId="13" xfId="1" applyNumberFormat="1" applyFont="1" applyFill="1" applyBorder="1" applyAlignment="1">
      <alignment horizontal="center" vertical="center"/>
    </xf>
    <xf numFmtId="16" fontId="36" fillId="2" borderId="12" xfId="1" applyNumberFormat="1" applyFont="1" applyFill="1" applyBorder="1" applyAlignment="1">
      <alignment vertical="center"/>
    </xf>
    <xf numFmtId="4" fontId="36" fillId="2" borderId="1" xfId="1" applyNumberFormat="1" applyFont="1" applyFill="1" applyBorder="1" applyAlignment="1" applyProtection="1">
      <alignment horizontal="center" vertical="center"/>
      <protection locked="0"/>
    </xf>
    <xf numFmtId="4" fontId="37" fillId="2" borderId="1" xfId="1" applyNumberFormat="1" applyFont="1" applyFill="1" applyBorder="1" applyAlignment="1" applyProtection="1">
      <alignment horizontal="center" vertical="center"/>
      <protection locked="0"/>
    </xf>
    <xf numFmtId="0" fontId="36" fillId="2" borderId="14" xfId="1" applyFont="1" applyFill="1" applyBorder="1" applyAlignment="1">
      <alignment vertical="center"/>
    </xf>
    <xf numFmtId="4" fontId="36" fillId="2" borderId="15" xfId="1" applyNumberFormat="1" applyFont="1" applyFill="1" applyBorder="1" applyAlignment="1" applyProtection="1">
      <alignment horizontal="center" vertical="center"/>
      <protection locked="0"/>
    </xf>
    <xf numFmtId="4" fontId="36" fillId="2" borderId="18" xfId="1" applyNumberFormat="1" applyFont="1" applyFill="1" applyBorder="1" applyAlignment="1" applyProtection="1">
      <alignment horizontal="center" vertical="center"/>
      <protection locked="0"/>
    </xf>
    <xf numFmtId="0" fontId="10" fillId="0" borderId="12" xfId="1" applyFont="1" applyFill="1" applyBorder="1" applyAlignment="1">
      <alignment vertical="center"/>
    </xf>
    <xf numFmtId="0" fontId="10" fillId="0" borderId="14" xfId="1" applyFont="1" applyFill="1" applyBorder="1" applyAlignment="1">
      <alignment vertical="center"/>
    </xf>
    <xf numFmtId="0" fontId="35" fillId="2" borderId="12" xfId="1" applyFont="1" applyFill="1" applyBorder="1" applyAlignment="1">
      <alignment vertical="center"/>
    </xf>
    <xf numFmtId="0" fontId="14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4" fontId="2" fillId="2" borderId="15" xfId="1" applyNumberFormat="1" applyFont="1" applyFill="1" applyBorder="1" applyAlignment="1" applyProtection="1">
      <alignment horizontal="center" vertical="center"/>
    </xf>
    <xf numFmtId="0" fontId="14" fillId="2" borderId="19" xfId="0" applyFont="1" applyFill="1" applyBorder="1" applyAlignment="1">
      <alignment horizontal="left" vertical="center" wrapText="1"/>
    </xf>
    <xf numFmtId="4" fontId="2" fillId="2" borderId="5" xfId="1" applyNumberFormat="1" applyFont="1" applyFill="1" applyBorder="1" applyAlignment="1" applyProtection="1">
      <alignment horizontal="center" vertical="center"/>
    </xf>
    <xf numFmtId="0" fontId="14" fillId="0" borderId="40" xfId="0" applyFont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4" fontId="14" fillId="2" borderId="21" xfId="0" applyNumberFormat="1" applyFont="1" applyFill="1" applyBorder="1" applyAlignment="1">
      <alignment horizontal="center" vertical="center" wrapText="1"/>
    </xf>
    <xf numFmtId="4" fontId="14" fillId="2" borderId="20" xfId="0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4" fontId="10" fillId="8" borderId="3" xfId="1" applyNumberFormat="1" applyFont="1" applyFill="1" applyBorder="1" applyAlignment="1">
      <alignment horizontal="center" vertical="center"/>
    </xf>
    <xf numFmtId="4" fontId="35" fillId="8" borderId="3" xfId="1" applyNumberFormat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4" fontId="10" fillId="2" borderId="7" xfId="1" applyNumberFormat="1" applyFont="1" applyFill="1" applyBorder="1" applyAlignment="1" applyProtection="1">
      <alignment horizontal="center" vertical="center"/>
      <protection locked="0"/>
    </xf>
    <xf numFmtId="4" fontId="10" fillId="2" borderId="8" xfId="1" applyNumberFormat="1" applyFont="1" applyFill="1" applyBorder="1" applyAlignment="1" applyProtection="1">
      <alignment horizontal="center" vertical="center"/>
      <protection locked="0"/>
    </xf>
    <xf numFmtId="4" fontId="10" fillId="2" borderId="9" xfId="1" applyNumberFormat="1" applyFont="1" applyFill="1" applyBorder="1" applyAlignment="1" applyProtection="1">
      <alignment horizontal="center" vertical="center"/>
      <protection locked="0"/>
    </xf>
    <xf numFmtId="4" fontId="10" fillId="8" borderId="10" xfId="1" applyNumberFormat="1" applyFont="1" applyFill="1" applyBorder="1" applyAlignment="1">
      <alignment horizontal="center" vertical="center"/>
    </xf>
    <xf numFmtId="4" fontId="25" fillId="8" borderId="12" xfId="1" applyNumberFormat="1" applyFont="1" applyFill="1" applyBorder="1" applyAlignment="1">
      <alignment horizontal="center" vertical="center"/>
    </xf>
    <xf numFmtId="4" fontId="2" fillId="2" borderId="12" xfId="1" applyNumberFormat="1" applyFont="1" applyFill="1" applyBorder="1" applyAlignment="1" applyProtection="1">
      <alignment horizontal="center" vertical="center"/>
      <protection locked="0"/>
    </xf>
    <xf numFmtId="4" fontId="2" fillId="2" borderId="14" xfId="1" applyNumberFormat="1" applyFont="1" applyFill="1" applyBorder="1" applyAlignment="1" applyProtection="1">
      <alignment horizontal="center" vertical="center"/>
      <protection locked="0"/>
    </xf>
    <xf numFmtId="4" fontId="37" fillId="8" borderId="12" xfId="1" applyNumberFormat="1" applyFont="1" applyFill="1" applyBorder="1" applyAlignment="1">
      <alignment horizontal="center" vertical="center"/>
    </xf>
    <xf numFmtId="4" fontId="36" fillId="2" borderId="12" xfId="1" applyNumberFormat="1" applyFont="1" applyFill="1" applyBorder="1" applyAlignment="1" applyProtection="1">
      <alignment horizontal="center" vertical="center"/>
      <protection locked="0"/>
    </xf>
    <xf numFmtId="4" fontId="37" fillId="2" borderId="12" xfId="1" applyNumberFormat="1" applyFont="1" applyFill="1" applyBorder="1" applyAlignment="1" applyProtection="1">
      <alignment horizontal="center" vertical="center"/>
      <protection locked="0"/>
    </xf>
    <xf numFmtId="4" fontId="37" fillId="2" borderId="13" xfId="1" applyNumberFormat="1" applyFont="1" applyFill="1" applyBorder="1" applyAlignment="1" applyProtection="1">
      <alignment horizontal="center" vertical="center"/>
      <protection locked="0"/>
    </xf>
    <xf numFmtId="4" fontId="36" fillId="2" borderId="14" xfId="1" applyNumberFormat="1" applyFont="1" applyFill="1" applyBorder="1" applyAlignment="1" applyProtection="1">
      <alignment horizontal="center" vertical="center"/>
      <protection locked="0"/>
    </xf>
    <xf numFmtId="0" fontId="2" fillId="2" borderId="6" xfId="1" applyFont="1" applyFill="1" applyBorder="1" applyAlignment="1">
      <alignment horizontal="center" vertical="center" wrapText="1"/>
    </xf>
    <xf numFmtId="166" fontId="8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40" xfId="0" applyFont="1" applyFill="1" applyBorder="1" applyAlignment="1">
      <alignment horizontal="center" vertical="center"/>
    </xf>
    <xf numFmtId="4" fontId="14" fillId="10" borderId="1" xfId="0" applyNumberFormat="1" applyFont="1" applyFill="1" applyBorder="1" applyAlignment="1" applyProtection="1">
      <alignment horizontal="right"/>
      <protection locked="0"/>
    </xf>
    <xf numFmtId="4" fontId="10" fillId="8" borderId="16" xfId="1" applyNumberFormat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35" fillId="2" borderId="0" xfId="1" applyFont="1" applyFill="1" applyBorder="1" applyAlignment="1">
      <alignment horizontal="left" vertical="center" wrapText="1"/>
    </xf>
    <xf numFmtId="4" fontId="35" fillId="8" borderId="16" xfId="1" applyNumberFormat="1" applyFont="1" applyFill="1" applyBorder="1" applyAlignment="1">
      <alignment horizontal="center" vertical="center"/>
    </xf>
    <xf numFmtId="4" fontId="37" fillId="8" borderId="2" xfId="1" applyNumberFormat="1" applyFont="1" applyFill="1" applyBorder="1" applyAlignment="1">
      <alignment horizontal="center" vertical="center"/>
    </xf>
    <xf numFmtId="4" fontId="36" fillId="2" borderId="2" xfId="1" applyNumberFormat="1" applyFont="1" applyFill="1" applyBorder="1" applyAlignment="1" applyProtection="1">
      <alignment horizontal="center" vertical="center"/>
      <protection locked="0"/>
    </xf>
    <xf numFmtId="4" fontId="36" fillId="2" borderId="17" xfId="1" applyNumberFormat="1" applyFont="1" applyFill="1" applyBorder="1" applyAlignment="1" applyProtection="1">
      <alignment horizontal="center" vertical="center"/>
      <protection locked="0"/>
    </xf>
    <xf numFmtId="0" fontId="2" fillId="2" borderId="13" xfId="1" applyFont="1" applyFill="1" applyBorder="1" applyAlignment="1">
      <alignment horizontal="center" vertical="center"/>
    </xf>
    <xf numFmtId="4" fontId="25" fillId="8" borderId="2" xfId="1" applyNumberFormat="1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 applyProtection="1">
      <alignment horizontal="center" vertical="center"/>
      <protection locked="0"/>
    </xf>
    <xf numFmtId="4" fontId="10" fillId="2" borderId="2" xfId="1" applyNumberFormat="1" applyFont="1" applyFill="1" applyBorder="1" applyAlignment="1" applyProtection="1">
      <alignment horizontal="center" vertical="center"/>
      <protection locked="0"/>
    </xf>
    <xf numFmtId="4" fontId="10" fillId="2" borderId="17" xfId="1" applyNumberFormat="1" applyFont="1" applyFill="1" applyBorder="1" applyAlignment="1" applyProtection="1">
      <alignment horizontal="center" vertical="center"/>
      <protection locked="0"/>
    </xf>
    <xf numFmtId="49" fontId="17" fillId="2" borderId="33" xfId="1" applyNumberFormat="1" applyFont="1" applyFill="1" applyBorder="1" applyAlignment="1">
      <alignment horizontal="center" vertical="center"/>
    </xf>
    <xf numFmtId="0" fontId="2" fillId="2" borderId="34" xfId="1" applyFont="1" applyFill="1" applyBorder="1" applyAlignment="1">
      <alignment horizontal="center" vertical="center"/>
    </xf>
    <xf numFmtId="0" fontId="2" fillId="2" borderId="46" xfId="1" applyFont="1" applyFill="1" applyBorder="1" applyAlignment="1">
      <alignment horizontal="center" vertical="center"/>
    </xf>
    <xf numFmtId="0" fontId="2" fillId="2" borderId="57" xfId="1" applyFont="1" applyFill="1" applyBorder="1" applyAlignment="1">
      <alignment horizontal="center" vertical="center"/>
    </xf>
    <xf numFmtId="0" fontId="2" fillId="2" borderId="33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44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4" fontId="10" fillId="2" borderId="61" xfId="1" applyNumberFormat="1" applyFont="1" applyFill="1" applyBorder="1" applyAlignment="1" applyProtection="1">
      <alignment horizontal="center" vertical="center"/>
      <protection locked="0"/>
    </xf>
    <xf numFmtId="4" fontId="10" fillId="8" borderId="60" xfId="1" applyNumberFormat="1" applyFont="1" applyFill="1" applyBorder="1" applyAlignment="1">
      <alignment horizontal="center" vertical="center"/>
    </xf>
    <xf numFmtId="4" fontId="10" fillId="8" borderId="56" xfId="1" applyNumberFormat="1" applyFont="1" applyFill="1" applyBorder="1" applyAlignment="1">
      <alignment horizontal="center" vertical="center"/>
    </xf>
    <xf numFmtId="0" fontId="10" fillId="0" borderId="19" xfId="1" applyFont="1" applyFill="1" applyBorder="1" applyAlignment="1">
      <alignment horizontal="center" vertical="center"/>
    </xf>
    <xf numFmtId="4" fontId="10" fillId="8" borderId="11" xfId="1" applyNumberFormat="1" applyFont="1" applyFill="1" applyBorder="1" applyAlignment="1">
      <alignment horizontal="center" vertical="center"/>
    </xf>
    <xf numFmtId="0" fontId="3" fillId="17" borderId="12" xfId="0" applyFont="1" applyFill="1" applyBorder="1" applyAlignment="1">
      <alignment horizontal="center" vertical="center" wrapText="1"/>
    </xf>
    <xf numFmtId="0" fontId="3" fillId="17" borderId="13" xfId="0" applyFont="1" applyFill="1" applyBorder="1" applyAlignment="1">
      <alignment horizontal="center" vertical="center" wrapText="1"/>
    </xf>
    <xf numFmtId="166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65" xfId="0" applyFont="1" applyBorder="1" applyAlignment="1">
      <alignment horizontal="center" vertical="center" wrapText="1"/>
    </xf>
    <xf numFmtId="166" fontId="14" fillId="0" borderId="54" xfId="0" applyNumberFormat="1" applyFont="1" applyFill="1" applyBorder="1" applyAlignment="1" applyProtection="1">
      <alignment horizontal="center" vertical="center"/>
      <protection locked="0"/>
    </xf>
    <xf numFmtId="0" fontId="3" fillId="17" borderId="58" xfId="0" applyFont="1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16" fontId="26" fillId="2" borderId="33" xfId="1" applyNumberFormat="1" applyFont="1" applyFill="1" applyBorder="1" applyAlignment="1">
      <alignment horizontal="left" wrapText="1" indent="2"/>
    </xf>
    <xf numFmtId="4" fontId="2" fillId="0" borderId="5" xfId="0" applyNumberFormat="1" applyFont="1" applyBorder="1" applyProtection="1">
      <protection locked="0"/>
    </xf>
    <xf numFmtId="4" fontId="14" fillId="0" borderId="44" xfId="0" applyNumberFormat="1" applyFont="1" applyBorder="1" applyProtection="1">
      <protection locked="0"/>
    </xf>
    <xf numFmtId="4" fontId="26" fillId="0" borderId="0" xfId="0" applyNumberFormat="1" applyFont="1"/>
    <xf numFmtId="4" fontId="53" fillId="10" borderId="21" xfId="0" applyNumberFormat="1" applyFont="1" applyFill="1" applyBorder="1" applyAlignment="1">
      <alignment horizontal="center" vertical="center" wrapText="1"/>
    </xf>
    <xf numFmtId="4" fontId="14" fillId="10" borderId="18" xfId="0" applyNumberFormat="1" applyFont="1" applyFill="1" applyBorder="1" applyAlignment="1">
      <alignment horizontal="center" vertical="center"/>
    </xf>
    <xf numFmtId="4" fontId="2" fillId="2" borderId="38" xfId="1" applyNumberFormat="1" applyFont="1" applyFill="1" applyBorder="1" applyAlignment="1" applyProtection="1">
      <alignment horizontal="center" vertical="center"/>
    </xf>
    <xf numFmtId="4" fontId="2" fillId="2" borderId="20" xfId="0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vertical="center"/>
    </xf>
    <xf numFmtId="4" fontId="14" fillId="10" borderId="10" xfId="0" applyNumberFormat="1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4" fontId="33" fillId="2" borderId="15" xfId="0" applyNumberFormat="1" applyFont="1" applyFill="1" applyBorder="1" applyAlignment="1">
      <alignment horizontal="center" vertical="center"/>
    </xf>
    <xf numFmtId="164" fontId="33" fillId="2" borderId="15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 wrapText="1"/>
    </xf>
    <xf numFmtId="4" fontId="14" fillId="10" borderId="21" xfId="0" applyNumberFormat="1" applyFont="1" applyFill="1" applyBorder="1" applyAlignment="1">
      <alignment horizontal="center" vertical="center" wrapText="1"/>
    </xf>
    <xf numFmtId="4" fontId="33" fillId="2" borderId="14" xfId="0" applyNumberFormat="1" applyFont="1" applyFill="1" applyBorder="1" applyAlignment="1">
      <alignment horizontal="center" vertical="center"/>
    </xf>
    <xf numFmtId="164" fontId="33" fillId="10" borderId="18" xfId="0" applyNumberFormat="1" applyFont="1" applyFill="1" applyBorder="1" applyAlignment="1">
      <alignment horizontal="center" vertical="center"/>
    </xf>
    <xf numFmtId="4" fontId="14" fillId="2" borderId="19" xfId="0" applyNumberFormat="1" applyFont="1" applyFill="1" applyBorder="1" applyAlignment="1">
      <alignment horizontal="center" vertical="center" wrapText="1"/>
    </xf>
    <xf numFmtId="164" fontId="33" fillId="2" borderId="14" xfId="0" applyNumberFormat="1" applyFont="1" applyFill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164" fontId="14" fillId="0" borderId="18" xfId="0" applyNumberFormat="1" applyFont="1" applyBorder="1" applyAlignment="1">
      <alignment horizontal="center" vertical="center"/>
    </xf>
    <xf numFmtId="4" fontId="14" fillId="2" borderId="18" xfId="0" applyNumberFormat="1" applyFont="1" applyFill="1" applyBorder="1" applyAlignment="1">
      <alignment horizontal="center" vertical="center"/>
    </xf>
    <xf numFmtId="4" fontId="50" fillId="2" borderId="29" xfId="0" applyNumberFormat="1" applyFont="1" applyFill="1" applyBorder="1" applyAlignment="1">
      <alignment vertical="center" wrapText="1"/>
    </xf>
    <xf numFmtId="164" fontId="14" fillId="2" borderId="14" xfId="0" applyNumberFormat="1" applyFont="1" applyFill="1" applyBorder="1" applyAlignment="1">
      <alignment horizontal="center" vertical="center"/>
    </xf>
    <xf numFmtId="164" fontId="14" fillId="2" borderId="18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4" fontId="14" fillId="2" borderId="14" xfId="0" applyNumberFormat="1" applyFont="1" applyFill="1" applyBorder="1" applyAlignment="1">
      <alignment horizontal="center" vertical="center"/>
    </xf>
    <xf numFmtId="4" fontId="3" fillId="2" borderId="19" xfId="0" applyNumberFormat="1" applyFont="1" applyFill="1" applyBorder="1" applyAlignment="1">
      <alignment horizontal="center" vertical="center" wrapText="1"/>
    </xf>
    <xf numFmtId="164" fontId="14" fillId="2" borderId="55" xfId="0" applyNumberFormat="1" applyFont="1" applyFill="1" applyBorder="1" applyAlignment="1">
      <alignment horizontal="center" vertical="center"/>
    </xf>
    <xf numFmtId="0" fontId="14" fillId="0" borderId="49" xfId="0" applyFont="1" applyBorder="1" applyAlignment="1">
      <alignment horizontal="center" vertical="center" wrapText="1"/>
    </xf>
    <xf numFmtId="4" fontId="8" fillId="0" borderId="54" xfId="0" applyNumberFormat="1" applyFont="1" applyBorder="1" applyAlignment="1">
      <alignment horizontal="center" vertical="center" wrapText="1"/>
    </xf>
    <xf numFmtId="0" fontId="5" fillId="0" borderId="39" xfId="0" applyFont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justify" vertical="center" wrapText="1"/>
    </xf>
    <xf numFmtId="0" fontId="14" fillId="0" borderId="2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4" fontId="14" fillId="0" borderId="20" xfId="0" applyNumberFormat="1" applyFont="1" applyBorder="1" applyAlignment="1">
      <alignment horizontal="center" vertical="center" wrapText="1"/>
    </xf>
    <xf numFmtId="4" fontId="14" fillId="10" borderId="21" xfId="0" applyNumberFormat="1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2" fillId="2" borderId="20" xfId="0" applyFont="1" applyFill="1" applyBorder="1" applyAlignment="1">
      <alignment horizontal="center" vertical="center" wrapText="1"/>
    </xf>
    <xf numFmtId="4" fontId="14" fillId="10" borderId="20" xfId="0" applyNumberFormat="1" applyFont="1" applyFill="1" applyBorder="1" applyAlignment="1">
      <alignment horizontal="center" vertical="center"/>
    </xf>
    <xf numFmtId="4" fontId="2" fillId="2" borderId="14" xfId="1" applyNumberFormat="1" applyFont="1" applyFill="1" applyBorder="1" applyAlignment="1" applyProtection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166" fontId="2" fillId="2" borderId="15" xfId="0" applyNumberFormat="1" applyFont="1" applyFill="1" applyBorder="1" applyAlignment="1">
      <alignment horizontal="center" vertical="center"/>
    </xf>
    <xf numFmtId="164" fontId="33" fillId="0" borderId="15" xfId="0" applyNumberFormat="1" applyFont="1" applyBorder="1" applyAlignment="1">
      <alignment horizontal="center"/>
    </xf>
    <xf numFmtId="164" fontId="33" fillId="2" borderId="15" xfId="0" applyNumberFormat="1" applyFont="1" applyFill="1" applyBorder="1" applyAlignment="1">
      <alignment horizontal="center"/>
    </xf>
    <xf numFmtId="164" fontId="15" fillId="10" borderId="16" xfId="0" applyNumberFormat="1" applyFont="1" applyFill="1" applyBorder="1" applyAlignment="1">
      <alignment horizontal="center"/>
    </xf>
    <xf numFmtId="164" fontId="33" fillId="0" borderId="5" xfId="0" applyNumberFormat="1" applyFont="1" applyBorder="1" applyAlignment="1">
      <alignment horizontal="center" vertical="center"/>
    </xf>
    <xf numFmtId="164" fontId="33" fillId="0" borderId="15" xfId="0" applyNumberFormat="1" applyFont="1" applyBorder="1" applyAlignment="1">
      <alignment horizontal="center" vertical="center"/>
    </xf>
    <xf numFmtId="164" fontId="11" fillId="10" borderId="18" xfId="0" applyNumberFormat="1" applyFont="1" applyFill="1" applyBorder="1" applyAlignment="1">
      <alignment horizontal="center" vertical="center"/>
    </xf>
    <xf numFmtId="4" fontId="14" fillId="10" borderId="1" xfId="0" applyNumberFormat="1" applyFont="1" applyFill="1" applyBorder="1" applyAlignment="1">
      <alignment horizontal="center" vertical="center"/>
    </xf>
    <xf numFmtId="4" fontId="14" fillId="10" borderId="13" xfId="0" applyNumberFormat="1" applyFont="1" applyFill="1" applyBorder="1" applyAlignment="1">
      <alignment horizontal="center"/>
    </xf>
    <xf numFmtId="4" fontId="14" fillId="0" borderId="9" xfId="0" applyNumberFormat="1" applyFont="1" applyBorder="1" applyAlignment="1">
      <alignment horizontal="center" vertical="center" wrapText="1"/>
    </xf>
    <xf numFmtId="4" fontId="14" fillId="0" borderId="48" xfId="0" applyNumberFormat="1" applyFont="1" applyBorder="1" applyAlignment="1">
      <alignment horizontal="center" vertical="center" wrapText="1"/>
    </xf>
    <xf numFmtId="4" fontId="14" fillId="10" borderId="44" xfId="0" applyNumberFormat="1" applyFont="1" applyFill="1" applyBorder="1" applyAlignment="1">
      <alignment horizontal="center" vertical="center" wrapText="1"/>
    </xf>
    <xf numFmtId="4" fontId="2" fillId="2" borderId="15" xfId="0" applyNumberFormat="1" applyFont="1" applyFill="1" applyBorder="1" applyAlignment="1">
      <alignment horizontal="center" vertical="center" wrapText="1"/>
    </xf>
    <xf numFmtId="164" fontId="14" fillId="10" borderId="15" xfId="0" applyNumberFormat="1" applyFont="1" applyFill="1" applyBorder="1" applyAlignment="1">
      <alignment horizontal="center" vertical="center"/>
    </xf>
    <xf numFmtId="164" fontId="14" fillId="10" borderId="18" xfId="0" applyNumberFormat="1" applyFont="1" applyFill="1" applyBorder="1" applyAlignment="1">
      <alignment horizontal="center" vertical="center"/>
    </xf>
    <xf numFmtId="0" fontId="3" fillId="2" borderId="56" xfId="0" applyNumberFormat="1" applyFont="1" applyFill="1" applyBorder="1" applyAlignment="1">
      <alignment horizontal="center" vertical="center" wrapText="1"/>
    </xf>
    <xf numFmtId="166" fontId="14" fillId="0" borderId="15" xfId="0" applyNumberFormat="1" applyFont="1" applyBorder="1" applyAlignment="1">
      <alignment horizontal="center" vertical="center"/>
    </xf>
    <xf numFmtId="49" fontId="2" fillId="2" borderId="24" xfId="1" applyNumberFormat="1" applyFont="1" applyFill="1" applyBorder="1" applyAlignment="1">
      <alignment horizontal="center" vertical="center"/>
    </xf>
    <xf numFmtId="3" fontId="2" fillId="0" borderId="6" xfId="1" applyNumberFormat="1" applyFont="1" applyFill="1" applyBorder="1" applyAlignment="1">
      <alignment horizontal="center" vertical="center" wrapText="1"/>
    </xf>
    <xf numFmtId="3" fontId="2" fillId="0" borderId="35" xfId="1" applyNumberFormat="1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vertical="center" wrapText="1"/>
    </xf>
    <xf numFmtId="164" fontId="14" fillId="2" borderId="0" xfId="0" applyNumberFormat="1" applyFont="1" applyFill="1" applyBorder="1" applyAlignment="1">
      <alignment horizontal="center" vertical="center"/>
    </xf>
    <xf numFmtId="4" fontId="14" fillId="0" borderId="19" xfId="0" applyNumberFormat="1" applyFont="1" applyBorder="1" applyAlignment="1">
      <alignment horizontal="center" vertical="center" wrapText="1"/>
    </xf>
    <xf numFmtId="166" fontId="2" fillId="2" borderId="14" xfId="0" applyNumberFormat="1" applyFont="1" applyFill="1" applyBorder="1" applyAlignment="1">
      <alignment horizontal="center" vertical="center"/>
    </xf>
    <xf numFmtId="0" fontId="41" fillId="5" borderId="40" xfId="0" applyFont="1" applyFill="1" applyBorder="1" applyAlignment="1">
      <alignment horizontal="left" vertical="center" wrapText="1"/>
    </xf>
    <xf numFmtId="0" fontId="41" fillId="11" borderId="70" xfId="0" applyFont="1" applyFill="1" applyBorder="1" applyAlignment="1" applyProtection="1">
      <alignment horizontal="center" vertical="center" wrapText="1"/>
      <protection locked="0"/>
    </xf>
    <xf numFmtId="1" fontId="48" fillId="2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 wrapText="1"/>
    </xf>
    <xf numFmtId="4" fontId="2" fillId="2" borderId="69" xfId="0" applyNumberFormat="1" applyFont="1" applyFill="1" applyBorder="1" applyAlignment="1">
      <alignment horizontal="center" vertical="center" wrapText="1"/>
    </xf>
    <xf numFmtId="164" fontId="14" fillId="2" borderId="49" xfId="0" applyNumberFormat="1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4" fontId="14" fillId="0" borderId="21" xfId="0" applyNumberFormat="1" applyFont="1" applyBorder="1" applyAlignment="1">
      <alignment horizontal="center" vertical="center" wrapText="1"/>
    </xf>
    <xf numFmtId="166" fontId="2" fillId="2" borderId="18" xfId="0" applyNumberFormat="1" applyFont="1" applyFill="1" applyBorder="1" applyAlignment="1">
      <alignment horizontal="center" vertical="center"/>
    </xf>
    <xf numFmtId="4" fontId="2" fillId="2" borderId="5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4" fontId="3" fillId="2" borderId="24" xfId="0" applyNumberFormat="1" applyFont="1" applyFill="1" applyBorder="1" applyAlignment="1">
      <alignment horizontal="center" vertical="center" wrapText="1"/>
    </xf>
    <xf numFmtId="4" fontId="14" fillId="2" borderId="24" xfId="0" applyNumberFormat="1" applyFont="1" applyFill="1" applyBorder="1" applyAlignment="1">
      <alignment horizontal="center" vertical="center" wrapText="1"/>
    </xf>
    <xf numFmtId="4" fontId="14" fillId="2" borderId="6" xfId="0" applyNumberFormat="1" applyFont="1" applyFill="1" applyBorder="1" applyAlignment="1">
      <alignment horizontal="center" vertical="center" wrapText="1"/>
    </xf>
    <xf numFmtId="4" fontId="2" fillId="2" borderId="71" xfId="1" applyNumberFormat="1" applyFont="1" applyFill="1" applyBorder="1" applyAlignment="1" applyProtection="1">
      <alignment horizontal="center" vertical="center"/>
    </xf>
    <xf numFmtId="4" fontId="2" fillId="10" borderId="18" xfId="1" applyNumberFormat="1" applyFont="1" applyFill="1" applyBorder="1" applyAlignment="1" applyProtection="1">
      <alignment horizontal="center" vertical="center"/>
    </xf>
    <xf numFmtId="0" fontId="3" fillId="0" borderId="54" xfId="0" applyFont="1" applyBorder="1" applyAlignment="1">
      <alignment horizontal="center" vertical="center" wrapText="1"/>
    </xf>
    <xf numFmtId="0" fontId="14" fillId="2" borderId="54" xfId="0" applyFont="1" applyFill="1" applyBorder="1" applyAlignment="1">
      <alignment horizontal="center" vertical="center" wrapText="1"/>
    </xf>
    <xf numFmtId="4" fontId="2" fillId="20" borderId="18" xfId="1" applyNumberFormat="1" applyFont="1" applyFill="1" applyBorder="1" applyAlignment="1" applyProtection="1">
      <alignment horizontal="center" vertical="center"/>
    </xf>
    <xf numFmtId="4" fontId="2" fillId="20" borderId="15" xfId="1" applyNumberFormat="1" applyFont="1" applyFill="1" applyBorder="1" applyAlignment="1" applyProtection="1">
      <alignment horizontal="center" vertical="center"/>
    </xf>
    <xf numFmtId="4" fontId="2" fillId="20" borderId="14" xfId="1" applyNumberFormat="1" applyFont="1" applyFill="1" applyBorder="1" applyAlignment="1" applyProtection="1">
      <alignment horizontal="center" vertical="center"/>
    </xf>
    <xf numFmtId="4" fontId="14" fillId="20" borderId="14" xfId="0" applyNumberFormat="1" applyFont="1" applyFill="1" applyBorder="1" applyAlignment="1">
      <alignment horizontal="center" vertical="center"/>
    </xf>
    <xf numFmtId="4" fontId="14" fillId="20" borderId="15" xfId="0" applyNumberFormat="1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11" xfId="0" applyNumberFormat="1" applyFont="1" applyFill="1" applyBorder="1" applyAlignment="1">
      <alignment horizontal="center" vertical="center" wrapText="1"/>
    </xf>
    <xf numFmtId="4" fontId="2" fillId="2" borderId="17" xfId="1" applyNumberFormat="1" applyFont="1" applyFill="1" applyBorder="1" applyAlignment="1" applyProtection="1">
      <alignment horizontal="center" vertical="center"/>
    </xf>
    <xf numFmtId="4" fontId="8" fillId="2" borderId="19" xfId="0" applyNumberFormat="1" applyFont="1" applyFill="1" applyBorder="1" applyAlignment="1">
      <alignment horizontal="center" vertical="center" wrapText="1"/>
    </xf>
    <xf numFmtId="4" fontId="2" fillId="2" borderId="33" xfId="1" applyNumberFormat="1" applyFont="1" applyFill="1" applyBorder="1" applyAlignment="1" applyProtection="1">
      <alignment horizontal="center" vertical="center"/>
    </xf>
    <xf numFmtId="0" fontId="14" fillId="2" borderId="20" xfId="0" applyFont="1" applyFill="1" applyBorder="1" applyAlignment="1">
      <alignment horizontal="center" vertical="center" wrapText="1"/>
    </xf>
    <xf numFmtId="4" fontId="14" fillId="0" borderId="54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10" borderId="35" xfId="0" applyFont="1" applyFill="1" applyBorder="1" applyAlignment="1">
      <alignment horizontal="center" vertical="center" wrapText="1"/>
    </xf>
    <xf numFmtId="4" fontId="14" fillId="10" borderId="13" xfId="0" applyNumberFormat="1" applyFont="1" applyFill="1" applyBorder="1" applyAlignment="1">
      <alignment horizontal="center" vertical="center"/>
    </xf>
    <xf numFmtId="0" fontId="73" fillId="0" borderId="20" xfId="0" applyFont="1" applyBorder="1" applyAlignment="1">
      <alignment horizontal="center" vertical="center" wrapText="1"/>
    </xf>
    <xf numFmtId="4" fontId="73" fillId="0" borderId="20" xfId="0" applyNumberFormat="1" applyFont="1" applyBorder="1" applyAlignment="1">
      <alignment horizontal="center" vertical="center" wrapText="1"/>
    </xf>
    <xf numFmtId="4" fontId="73" fillId="2" borderId="21" xfId="0" applyNumberFormat="1" applyFont="1" applyFill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" fontId="14" fillId="2" borderId="20" xfId="0" applyNumberFormat="1" applyFont="1" applyFill="1" applyBorder="1" applyAlignment="1">
      <alignment horizontal="center" vertical="center"/>
    </xf>
    <xf numFmtId="4" fontId="14" fillId="14" borderId="20" xfId="0" applyNumberFormat="1" applyFont="1" applyFill="1" applyBorder="1" applyAlignment="1">
      <alignment horizontal="center" vertical="center" wrapText="1"/>
    </xf>
    <xf numFmtId="3" fontId="14" fillId="14" borderId="21" xfId="0" applyNumberFormat="1" applyFont="1" applyFill="1" applyBorder="1" applyAlignment="1">
      <alignment horizontal="center" vertical="center" wrapText="1"/>
    </xf>
    <xf numFmtId="166" fontId="14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1" applyFont="1" applyFill="1" applyBorder="1" applyAlignment="1" applyProtection="1">
      <alignment horizontal="left" vertical="top"/>
      <protection locked="0"/>
    </xf>
    <xf numFmtId="0" fontId="2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2" fontId="2" fillId="2" borderId="1" xfId="1" applyNumberFormat="1" applyFont="1" applyFill="1" applyBorder="1" applyAlignment="1" applyProtection="1">
      <alignment horizontal="center" vertical="center"/>
      <protection locked="0"/>
    </xf>
    <xf numFmtId="4" fontId="14" fillId="16" borderId="12" xfId="0" applyNumberFormat="1" applyFont="1" applyFill="1" applyBorder="1" applyAlignment="1">
      <alignment horizontal="right"/>
    </xf>
    <xf numFmtId="0" fontId="3" fillId="2" borderId="20" xfId="0" applyFont="1" applyFill="1" applyBorder="1" applyAlignment="1" applyProtection="1">
      <alignment horizontal="center" wrapText="1"/>
      <protection locked="0"/>
    </xf>
    <xf numFmtId="4" fontId="2" fillId="16" borderId="1" xfId="0" applyNumberFormat="1" applyFont="1" applyFill="1" applyBorder="1" applyAlignment="1" applyProtection="1">
      <alignment horizontal="right" wrapText="1"/>
      <protection locked="0"/>
    </xf>
    <xf numFmtId="4" fontId="14" fillId="0" borderId="1" xfId="0" applyNumberFormat="1" applyFont="1" applyFill="1" applyBorder="1" applyAlignment="1" applyProtection="1">
      <alignment horizontal="right" wrapText="1"/>
      <protection locked="0"/>
    </xf>
    <xf numFmtId="4" fontId="14" fillId="10" borderId="1" xfId="0" applyNumberFormat="1" applyFont="1" applyFill="1" applyBorder="1" applyAlignment="1" applyProtection="1">
      <alignment horizontal="right" wrapText="1"/>
      <protection locked="0"/>
    </xf>
    <xf numFmtId="4" fontId="14" fillId="2" borderId="15" xfId="0" applyNumberFormat="1" applyFont="1" applyFill="1" applyBorder="1" applyAlignment="1" applyProtection="1">
      <alignment horizontal="right" wrapText="1"/>
      <protection locked="0"/>
    </xf>
    <xf numFmtId="4" fontId="14" fillId="0" borderId="15" xfId="0" applyNumberFormat="1" applyFont="1" applyFill="1" applyBorder="1" applyAlignment="1" applyProtection="1">
      <alignment horizontal="right" wrapText="1"/>
      <protection locked="0"/>
    </xf>
    <xf numFmtId="0" fontId="3" fillId="2" borderId="19" xfId="0" applyFont="1" applyFill="1" applyBorder="1" applyAlignment="1" applyProtection="1">
      <alignment horizontal="center" wrapText="1"/>
      <protection locked="0"/>
    </xf>
    <xf numFmtId="4" fontId="14" fillId="2" borderId="0" xfId="0" applyNumberFormat="1" applyFont="1" applyFill="1" applyBorder="1" applyAlignment="1">
      <alignment horizontal="right"/>
    </xf>
    <xf numFmtId="4" fontId="14" fillId="2" borderId="0" xfId="0" applyNumberFormat="1" applyFont="1" applyFill="1" applyBorder="1" applyAlignment="1" applyProtection="1">
      <alignment horizontal="right"/>
      <protection locked="0"/>
    </xf>
    <xf numFmtId="4" fontId="2" fillId="2" borderId="61" xfId="1" applyNumberFormat="1" applyFont="1" applyFill="1" applyBorder="1" applyAlignment="1" applyProtection="1">
      <alignment horizontal="center" vertical="center"/>
    </xf>
    <xf numFmtId="4" fontId="2" fillId="2" borderId="50" xfId="1" applyNumberFormat="1" applyFont="1" applyFill="1" applyBorder="1" applyAlignment="1" applyProtection="1">
      <alignment horizontal="center" vertical="center"/>
    </xf>
    <xf numFmtId="4" fontId="14" fillId="7" borderId="1" xfId="0" applyNumberFormat="1" applyFont="1" applyFill="1" applyBorder="1" applyAlignment="1">
      <alignment horizontal="right"/>
    </xf>
    <xf numFmtId="0" fontId="14" fillId="0" borderId="24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/>
    </xf>
    <xf numFmtId="0" fontId="3" fillId="2" borderId="14" xfId="0" applyFont="1" applyFill="1" applyBorder="1" applyAlignment="1">
      <alignment horizontal="center" vertical="center" wrapText="1"/>
    </xf>
    <xf numFmtId="0" fontId="5" fillId="0" borderId="47" xfId="0" applyFont="1" applyBorder="1" applyAlignment="1">
      <alignment vertical="center"/>
    </xf>
    <xf numFmtId="4" fontId="14" fillId="18" borderId="1" xfId="0" applyNumberFormat="1" applyFont="1" applyFill="1" applyBorder="1" applyAlignment="1" applyProtection="1">
      <alignment horizontal="right"/>
      <protection locked="0"/>
    </xf>
    <xf numFmtId="4" fontId="14" fillId="7" borderId="3" xfId="0" applyNumberFormat="1" applyFont="1" applyFill="1" applyBorder="1" applyAlignment="1">
      <alignment horizontal="right"/>
    </xf>
    <xf numFmtId="0" fontId="3" fillId="0" borderId="16" xfId="0" applyFont="1" applyBorder="1" applyAlignment="1">
      <alignment horizontal="center" vertical="center" wrapText="1"/>
    </xf>
    <xf numFmtId="4" fontId="14" fillId="0" borderId="3" xfId="0" applyNumberFormat="1" applyFont="1" applyFill="1" applyBorder="1" applyAlignment="1" applyProtection="1">
      <alignment horizontal="right"/>
      <protection locked="0"/>
    </xf>
    <xf numFmtId="4" fontId="14" fillId="0" borderId="16" xfId="0" applyNumberFormat="1" applyFont="1" applyFill="1" applyBorder="1" applyAlignment="1" applyProtection="1">
      <alignment horizontal="right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4" fontId="14" fillId="18" borderId="15" xfId="0" applyNumberFormat="1" applyFont="1" applyFill="1" applyBorder="1" applyAlignment="1" applyProtection="1">
      <alignment horizontal="right" wrapText="1"/>
      <protection locked="0"/>
    </xf>
    <xf numFmtId="0" fontId="3" fillId="2" borderId="73" xfId="0" applyFont="1" applyFill="1" applyBorder="1" applyAlignment="1" applyProtection="1">
      <alignment horizontal="center" vertical="center" wrapText="1"/>
      <protection locked="0"/>
    </xf>
    <xf numFmtId="4" fontId="14" fillId="2" borderId="1" xfId="0" applyNumberFormat="1" applyFont="1" applyFill="1" applyBorder="1" applyAlignment="1" applyProtection="1">
      <alignment horizontal="right"/>
      <protection locked="0"/>
    </xf>
    <xf numFmtId="4" fontId="70" fillId="2" borderId="0" xfId="0" applyNumberFormat="1" applyFont="1" applyFill="1" applyBorder="1"/>
    <xf numFmtId="0" fontId="17" fillId="2" borderId="33" xfId="1" applyFont="1" applyFill="1" applyBorder="1" applyAlignment="1">
      <alignment horizontal="left" vertical="center"/>
    </xf>
    <xf numFmtId="4" fontId="2" fillId="0" borderId="5" xfId="1" applyNumberFormat="1" applyFont="1" applyFill="1" applyBorder="1" applyAlignment="1" applyProtection="1">
      <alignment horizontal="center" vertical="center"/>
      <protection locked="0"/>
    </xf>
    <xf numFmtId="165" fontId="9" fillId="4" borderId="5" xfId="1" applyNumberFormat="1" applyFont="1" applyFill="1" applyBorder="1" applyAlignment="1" applyProtection="1">
      <alignment horizontal="center" vertical="center"/>
    </xf>
    <xf numFmtId="165" fontId="9" fillId="4" borderId="44" xfId="1" applyNumberFormat="1" applyFont="1" applyFill="1" applyBorder="1" applyAlignment="1" applyProtection="1">
      <alignment horizontal="center" vertical="center"/>
    </xf>
    <xf numFmtId="0" fontId="41" fillId="2" borderId="62" xfId="1" applyFont="1" applyFill="1" applyBorder="1" applyAlignment="1">
      <alignment horizontal="left" vertical="center"/>
    </xf>
    <xf numFmtId="165" fontId="9" fillId="7" borderId="43" xfId="1" applyNumberFormat="1" applyFont="1" applyFill="1" applyBorder="1" applyAlignment="1" applyProtection="1">
      <alignment horizontal="center" vertical="center"/>
    </xf>
    <xf numFmtId="165" fontId="9" fillId="7" borderId="66" xfId="1" applyNumberFormat="1" applyFont="1" applyFill="1" applyBorder="1" applyAlignment="1" applyProtection="1">
      <alignment horizontal="center" vertical="center"/>
    </xf>
    <xf numFmtId="165" fontId="9" fillId="7" borderId="1" xfId="1" applyNumberFormat="1" applyFont="1" applyFill="1" applyBorder="1" applyAlignment="1" applyProtection="1">
      <alignment horizontal="center" vertical="center"/>
    </xf>
    <xf numFmtId="165" fontId="9" fillId="7" borderId="13" xfId="1" applyNumberFormat="1" applyFont="1" applyFill="1" applyBorder="1" applyAlignment="1" applyProtection="1">
      <alignment horizontal="center" vertical="center"/>
    </xf>
    <xf numFmtId="4" fontId="14" fillId="0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76" xfId="1" applyFont="1" applyFill="1" applyBorder="1" applyAlignment="1">
      <alignment horizontal="center" vertical="center"/>
    </xf>
    <xf numFmtId="4" fontId="10" fillId="8" borderId="51" xfId="1" applyNumberFormat="1" applyFont="1" applyFill="1" applyBorder="1" applyAlignment="1">
      <alignment horizontal="center" vertical="center"/>
    </xf>
    <xf numFmtId="4" fontId="25" fillId="8" borderId="67" xfId="1" applyNumberFormat="1" applyFont="1" applyFill="1" applyBorder="1" applyAlignment="1">
      <alignment horizontal="center" vertical="center"/>
    </xf>
    <xf numFmtId="4" fontId="2" fillId="2" borderId="67" xfId="1" applyNumberFormat="1" applyFont="1" applyFill="1" applyBorder="1" applyAlignment="1" applyProtection="1">
      <alignment horizontal="center" vertical="center"/>
      <protection locked="0"/>
    </xf>
    <xf numFmtId="4" fontId="2" fillId="2" borderId="27" xfId="1" applyNumberFormat="1" applyFont="1" applyFill="1" applyBorder="1" applyAlignment="1" applyProtection="1">
      <alignment horizontal="center" vertical="center"/>
      <protection locked="0"/>
    </xf>
    <xf numFmtId="0" fontId="2" fillId="2" borderId="77" xfId="1" applyFont="1" applyFill="1" applyBorder="1" applyAlignment="1">
      <alignment horizontal="center" vertical="center"/>
    </xf>
    <xf numFmtId="4" fontId="10" fillId="8" borderId="73" xfId="1" applyNumberFormat="1" applyFont="1" applyFill="1" applyBorder="1" applyAlignment="1">
      <alignment horizontal="center" vertical="center"/>
    </xf>
    <xf numFmtId="4" fontId="25" fillId="8" borderId="65" xfId="1" applyNumberFormat="1" applyFont="1" applyFill="1" applyBorder="1" applyAlignment="1">
      <alignment horizontal="center" vertical="center"/>
    </xf>
    <xf numFmtId="4" fontId="2" fillId="2" borderId="65" xfId="1" applyNumberFormat="1" applyFont="1" applyFill="1" applyBorder="1" applyAlignment="1" applyProtection="1">
      <alignment horizontal="center" vertical="center"/>
      <protection locked="0"/>
    </xf>
    <xf numFmtId="4" fontId="2" fillId="2" borderId="71" xfId="1" applyNumberFormat="1" applyFont="1" applyFill="1" applyBorder="1" applyAlignment="1" applyProtection="1">
      <alignment horizontal="center" vertical="center"/>
      <protection locked="0"/>
    </xf>
    <xf numFmtId="4" fontId="10" fillId="8" borderId="1" xfId="1" applyNumberFormat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4" fontId="10" fillId="8" borderId="12" xfId="1" applyNumberFormat="1" applyFont="1" applyFill="1" applyBorder="1" applyAlignment="1">
      <alignment horizontal="center" vertical="center"/>
    </xf>
    <xf numFmtId="4" fontId="10" fillId="8" borderId="13" xfId="1" applyNumberFormat="1" applyFont="1" applyFill="1" applyBorder="1" applyAlignment="1">
      <alignment horizontal="center" vertical="center"/>
    </xf>
    <xf numFmtId="4" fontId="25" fillId="8" borderId="13" xfId="1" applyNumberFormat="1" applyFont="1" applyFill="1" applyBorder="1" applyAlignment="1">
      <alignment horizontal="center" vertical="center"/>
    </xf>
    <xf numFmtId="4" fontId="2" fillId="2" borderId="13" xfId="1" applyNumberFormat="1" applyFont="1" applyFill="1" applyBorder="1" applyAlignment="1" applyProtection="1">
      <alignment horizontal="center" vertical="center"/>
      <protection locked="0"/>
    </xf>
    <xf numFmtId="4" fontId="2" fillId="2" borderId="18" xfId="1" applyNumberFormat="1" applyFont="1" applyFill="1" applyBorder="1" applyAlignment="1" applyProtection="1">
      <alignment horizontal="center" vertical="center"/>
      <protection locked="0"/>
    </xf>
    <xf numFmtId="4" fontId="37" fillId="8" borderId="67" xfId="1" applyNumberFormat="1" applyFont="1" applyFill="1" applyBorder="1" applyAlignment="1">
      <alignment horizontal="center" vertical="center"/>
    </xf>
    <xf numFmtId="4" fontId="36" fillId="2" borderId="67" xfId="1" applyNumberFormat="1" applyFont="1" applyFill="1" applyBorder="1" applyAlignment="1" applyProtection="1">
      <alignment horizontal="center" vertical="center"/>
      <protection locked="0"/>
    </xf>
    <xf numFmtId="4" fontId="37" fillId="2" borderId="67" xfId="1" applyNumberFormat="1" applyFont="1" applyFill="1" applyBorder="1" applyAlignment="1" applyProtection="1">
      <alignment horizontal="center" vertical="center"/>
      <protection locked="0"/>
    </xf>
    <xf numFmtId="4" fontId="36" fillId="2" borderId="27" xfId="1" applyNumberFormat="1" applyFont="1" applyFill="1" applyBorder="1" applyAlignment="1" applyProtection="1">
      <alignment horizontal="center" vertical="center"/>
      <protection locked="0"/>
    </xf>
    <xf numFmtId="4" fontId="37" fillId="8" borderId="65" xfId="1" applyNumberFormat="1" applyFont="1" applyFill="1" applyBorder="1" applyAlignment="1">
      <alignment horizontal="center" vertical="center"/>
    </xf>
    <xf numFmtId="4" fontId="36" fillId="2" borderId="65" xfId="1" applyNumberFormat="1" applyFont="1" applyFill="1" applyBorder="1" applyAlignment="1" applyProtection="1">
      <alignment horizontal="center" vertical="center"/>
      <protection locked="0"/>
    </xf>
    <xf numFmtId="4" fontId="36" fillId="2" borderId="71" xfId="1" applyNumberFormat="1" applyFont="1" applyFill="1" applyBorder="1" applyAlignment="1" applyProtection="1">
      <alignment horizontal="center" vertical="center"/>
      <protection locked="0"/>
    </xf>
    <xf numFmtId="0" fontId="35" fillId="2" borderId="24" xfId="1" applyFont="1" applyFill="1" applyBorder="1" applyAlignment="1">
      <alignment horizontal="center" vertical="center"/>
    </xf>
    <xf numFmtId="4" fontId="35" fillId="8" borderId="26" xfId="1" applyNumberFormat="1" applyFont="1" applyFill="1" applyBorder="1" applyAlignment="1">
      <alignment horizontal="center" vertical="center"/>
    </xf>
    <xf numFmtId="4" fontId="35" fillId="8" borderId="32" xfId="1" applyNumberFormat="1" applyFont="1" applyFill="1" applyBorder="1" applyAlignment="1">
      <alignment horizontal="center" vertical="center"/>
    </xf>
    <xf numFmtId="4" fontId="35" fillId="8" borderId="64" xfId="1" applyNumberFormat="1" applyFont="1" applyFill="1" applyBorder="1" applyAlignment="1">
      <alignment horizontal="center" vertical="center"/>
    </xf>
    <xf numFmtId="4" fontId="35" fillId="8" borderId="24" xfId="1" applyNumberFormat="1" applyFont="1" applyFill="1" applyBorder="1" applyAlignment="1">
      <alignment horizontal="center" vertical="center"/>
    </xf>
    <xf numFmtId="4" fontId="35" fillId="8" borderId="6" xfId="1" applyNumberFormat="1" applyFont="1" applyFill="1" applyBorder="1" applyAlignment="1">
      <alignment horizontal="center" vertical="center"/>
    </xf>
    <xf numFmtId="4" fontId="35" fillId="8" borderId="35" xfId="1" applyNumberFormat="1" applyFont="1" applyFill="1" applyBorder="1" applyAlignment="1">
      <alignment horizontal="center" vertical="center"/>
    </xf>
    <xf numFmtId="4" fontId="35" fillId="8" borderId="78" xfId="1" applyNumberFormat="1" applyFont="1" applyFill="1" applyBorder="1" applyAlignment="1">
      <alignment horizontal="center" vertical="center"/>
    </xf>
    <xf numFmtId="49" fontId="17" fillId="2" borderId="14" xfId="1" applyNumberFormat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/>
    </xf>
    <xf numFmtId="0" fontId="2" fillId="2" borderId="27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2" fillId="2" borderId="71" xfId="1" applyFont="1" applyFill="1" applyBorder="1" applyAlignment="1">
      <alignment horizontal="center" vertical="center"/>
    </xf>
    <xf numFmtId="4" fontId="14" fillId="7" borderId="12" xfId="0" applyNumberFormat="1" applyFont="1" applyFill="1" applyBorder="1" applyAlignment="1">
      <alignment horizontal="center"/>
    </xf>
    <xf numFmtId="4" fontId="14" fillId="7" borderId="13" xfId="0" applyNumberFormat="1" applyFont="1" applyFill="1" applyBorder="1" applyAlignment="1">
      <alignment horizontal="center"/>
    </xf>
    <xf numFmtId="4" fontId="14" fillId="7" borderId="2" xfId="0" applyNumberFormat="1" applyFont="1" applyFill="1" applyBorder="1" applyAlignment="1" applyProtection="1">
      <alignment horizontal="right"/>
    </xf>
    <xf numFmtId="4" fontId="14" fillId="7" borderId="1" xfId="0" applyNumberFormat="1" applyFont="1" applyFill="1" applyBorder="1" applyAlignment="1" applyProtection="1">
      <alignment horizontal="right"/>
    </xf>
    <xf numFmtId="4" fontId="14" fillId="7" borderId="13" xfId="0" applyNumberFormat="1" applyFont="1" applyFill="1" applyBorder="1" applyAlignment="1" applyProtection="1">
      <alignment horizontal="right"/>
    </xf>
    <xf numFmtId="4" fontId="14" fillId="10" borderId="1" xfId="0" applyNumberFormat="1" applyFont="1" applyFill="1" applyBorder="1" applyAlignment="1" applyProtection="1">
      <alignment horizontal="right"/>
    </xf>
    <xf numFmtId="4" fontId="14" fillId="18" borderId="1" xfId="0" applyNumberFormat="1" applyFont="1" applyFill="1" applyBorder="1" applyAlignment="1" applyProtection="1">
      <alignment horizontal="right"/>
    </xf>
    <xf numFmtId="4" fontId="14" fillId="8" borderId="1" xfId="0" applyNumberFormat="1" applyFont="1" applyFill="1" applyBorder="1" applyAlignment="1" applyProtection="1">
      <alignment horizontal="right"/>
    </xf>
    <xf numFmtId="4" fontId="14" fillId="8" borderId="13" xfId="0" applyNumberFormat="1" applyFont="1" applyFill="1" applyBorder="1" applyAlignment="1" applyProtection="1">
      <alignment horizontal="right"/>
    </xf>
    <xf numFmtId="4" fontId="14" fillId="16" borderId="2" xfId="0" applyNumberFormat="1" applyFont="1" applyFill="1" applyBorder="1" applyAlignment="1" applyProtection="1">
      <alignment horizontal="right"/>
    </xf>
    <xf numFmtId="4" fontId="14" fillId="11" borderId="1" xfId="0" applyNumberFormat="1" applyFont="1" applyFill="1" applyBorder="1" applyAlignment="1" applyProtection="1">
      <alignment horizontal="right"/>
    </xf>
    <xf numFmtId="4" fontId="14" fillId="7" borderId="17" xfId="0" applyNumberFormat="1" applyFont="1" applyFill="1" applyBorder="1" applyAlignment="1" applyProtection="1">
      <alignment horizontal="right"/>
    </xf>
    <xf numFmtId="4" fontId="14" fillId="11" borderId="15" xfId="0" applyNumberFormat="1" applyFont="1" applyFill="1" applyBorder="1" applyAlignment="1" applyProtection="1">
      <alignment horizontal="center"/>
    </xf>
    <xf numFmtId="4" fontId="14" fillId="11" borderId="15" xfId="0" applyNumberFormat="1" applyFont="1" applyFill="1" applyBorder="1" applyAlignment="1" applyProtection="1">
      <alignment horizontal="right"/>
    </xf>
    <xf numFmtId="4" fontId="14" fillId="8" borderId="15" xfId="0" applyNumberFormat="1" applyFont="1" applyFill="1" applyBorder="1" applyAlignment="1" applyProtection="1">
      <alignment horizontal="right"/>
    </xf>
    <xf numFmtId="4" fontId="14" fillId="8" borderId="18" xfId="0" applyNumberFormat="1" applyFont="1" applyFill="1" applyBorder="1" applyAlignment="1" applyProtection="1">
      <alignment horizontal="right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4" fontId="14" fillId="16" borderId="12" xfId="0" applyNumberFormat="1" applyFont="1" applyFill="1" applyBorder="1" applyAlignment="1" applyProtection="1">
      <alignment horizontal="right"/>
    </xf>
    <xf numFmtId="4" fontId="14" fillId="16" borderId="1" xfId="0" applyNumberFormat="1" applyFont="1" applyFill="1" applyBorder="1" applyAlignment="1" applyProtection="1">
      <alignment horizontal="right"/>
    </xf>
    <xf numFmtId="4" fontId="14" fillId="10" borderId="12" xfId="0" applyNumberFormat="1" applyFont="1" applyFill="1" applyBorder="1" applyAlignment="1" applyProtection="1">
      <alignment horizontal="right"/>
    </xf>
    <xf numFmtId="0" fontId="8" fillId="11" borderId="12" xfId="0" applyFont="1" applyFill="1" applyBorder="1" applyProtection="1"/>
    <xf numFmtId="0" fontId="8" fillId="11" borderId="1" xfId="0" applyFont="1" applyFill="1" applyBorder="1" applyProtection="1"/>
    <xf numFmtId="4" fontId="14" fillId="18" borderId="14" xfId="0" applyNumberFormat="1" applyFont="1" applyFill="1" applyBorder="1" applyAlignment="1" applyProtection="1">
      <alignment horizontal="right"/>
    </xf>
    <xf numFmtId="4" fontId="14" fillId="18" borderId="15" xfId="0" applyNumberFormat="1" applyFont="1" applyFill="1" applyBorder="1" applyAlignment="1" applyProtection="1">
      <alignment horizontal="right"/>
    </xf>
    <xf numFmtId="4" fontId="14" fillId="8" borderId="1" xfId="0" applyNumberFormat="1" applyFont="1" applyFill="1" applyBorder="1" applyAlignment="1" applyProtection="1">
      <alignment horizontal="right" vertical="center"/>
    </xf>
    <xf numFmtId="4" fontId="14" fillId="8" borderId="3" xfId="0" applyNumberFormat="1" applyFont="1" applyFill="1" applyBorder="1" applyAlignment="1" applyProtection="1">
      <alignment horizontal="right" vertical="center"/>
    </xf>
    <xf numFmtId="4" fontId="14" fillId="10" borderId="12" xfId="0" applyNumberFormat="1" applyFont="1" applyFill="1" applyBorder="1" applyAlignment="1" applyProtection="1">
      <alignment horizontal="right" vertical="center"/>
    </xf>
    <xf numFmtId="4" fontId="14" fillId="8" borderId="13" xfId="0" applyNumberFormat="1" applyFont="1" applyFill="1" applyBorder="1" applyAlignment="1" applyProtection="1">
      <alignment horizontal="center" vertical="center"/>
    </xf>
    <xf numFmtId="4" fontId="14" fillId="8" borderId="2" xfId="0" applyNumberFormat="1" applyFont="1" applyFill="1" applyBorder="1" applyAlignment="1" applyProtection="1">
      <alignment horizontal="right" vertical="center"/>
    </xf>
    <xf numFmtId="4" fontId="14" fillId="10" borderId="58" xfId="0" applyNumberFormat="1" applyFont="1" applyFill="1" applyBorder="1" applyAlignment="1" applyProtection="1">
      <alignment horizontal="right" vertical="center"/>
    </xf>
    <xf numFmtId="4" fontId="14" fillId="8" borderId="65" xfId="0" applyNumberFormat="1" applyFont="1" applyFill="1" applyBorder="1" applyAlignment="1" applyProtection="1">
      <alignment horizontal="right" vertical="center"/>
    </xf>
    <xf numFmtId="4" fontId="14" fillId="2" borderId="1" xfId="0" applyNumberFormat="1" applyFont="1" applyFill="1" applyBorder="1" applyAlignment="1" applyProtection="1">
      <alignment horizontal="right" vertical="center"/>
    </xf>
    <xf numFmtId="4" fontId="14" fillId="2" borderId="1" xfId="0" applyNumberFormat="1" applyFont="1" applyFill="1" applyBorder="1" applyAlignment="1" applyProtection="1">
      <alignment horizontal="center" vertical="center" wrapText="1"/>
    </xf>
    <xf numFmtId="4" fontId="14" fillId="2" borderId="3" xfId="0" applyNumberFormat="1" applyFont="1" applyFill="1" applyBorder="1" applyAlignment="1" applyProtection="1">
      <alignment horizontal="right" vertical="center"/>
    </xf>
    <xf numFmtId="4" fontId="14" fillId="2" borderId="12" xfId="0" applyNumberFormat="1" applyFont="1" applyFill="1" applyBorder="1" applyAlignment="1" applyProtection="1">
      <alignment horizontal="right" vertical="center"/>
    </xf>
    <xf numFmtId="4" fontId="14" fillId="2" borderId="13" xfId="0" applyNumberFormat="1" applyFont="1" applyFill="1" applyBorder="1" applyAlignment="1" applyProtection="1">
      <alignment horizontal="right" vertical="center"/>
    </xf>
    <xf numFmtId="4" fontId="14" fillId="2" borderId="2" xfId="0" applyNumberFormat="1" applyFont="1" applyFill="1" applyBorder="1" applyAlignment="1" applyProtection="1">
      <alignment horizontal="right" vertical="center"/>
    </xf>
    <xf numFmtId="4" fontId="14" fillId="2" borderId="3" xfId="0" applyNumberFormat="1" applyFont="1" applyFill="1" applyBorder="1" applyAlignment="1" applyProtection="1">
      <alignment horizontal="center" vertical="center" wrapText="1"/>
    </xf>
    <xf numFmtId="4" fontId="14" fillId="2" borderId="58" xfId="0" applyNumberFormat="1" applyFont="1" applyFill="1" applyBorder="1" applyAlignment="1" applyProtection="1">
      <alignment horizontal="right" vertical="center"/>
    </xf>
    <xf numFmtId="4" fontId="14" fillId="2" borderId="65" xfId="0" applyNumberFormat="1" applyFont="1" applyFill="1" applyBorder="1" applyAlignment="1" applyProtection="1">
      <alignment horizontal="right" vertical="center"/>
    </xf>
    <xf numFmtId="4" fontId="14" fillId="10" borderId="13" xfId="0" applyNumberFormat="1" applyFont="1" applyFill="1" applyBorder="1" applyAlignment="1" applyProtection="1">
      <alignment horizontal="right" vertical="center"/>
    </xf>
    <xf numFmtId="4" fontId="14" fillId="2" borderId="2" xfId="0" applyNumberFormat="1" applyFont="1" applyFill="1" applyBorder="1" applyAlignment="1" applyProtection="1">
      <alignment horizontal="center" vertical="center" wrapText="1"/>
    </xf>
    <xf numFmtId="4" fontId="14" fillId="8" borderId="1" xfId="0" applyNumberFormat="1" applyFont="1" applyFill="1" applyBorder="1" applyAlignment="1" applyProtection="1">
      <alignment horizontal="center" vertical="center"/>
    </xf>
    <xf numFmtId="4" fontId="14" fillId="8" borderId="3" xfId="0" applyNumberFormat="1" applyFont="1" applyFill="1" applyBorder="1" applyAlignment="1" applyProtection="1">
      <alignment horizontal="center" vertical="center"/>
    </xf>
    <xf numFmtId="4" fontId="14" fillId="8" borderId="12" xfId="0" applyNumberFormat="1" applyFont="1" applyFill="1" applyBorder="1" applyAlignment="1" applyProtection="1">
      <alignment horizontal="center" vertical="center"/>
    </xf>
    <xf numFmtId="4" fontId="14" fillId="8" borderId="58" xfId="0" applyNumberFormat="1" applyFont="1" applyFill="1" applyBorder="1" applyAlignment="1" applyProtection="1">
      <alignment horizontal="center" vertical="center"/>
    </xf>
    <xf numFmtId="0" fontId="2" fillId="0" borderId="15" xfId="1" applyFont="1" applyFill="1" applyBorder="1" applyAlignment="1" applyProtection="1">
      <alignment horizontal="center" vertical="center"/>
    </xf>
    <xf numFmtId="0" fontId="2" fillId="2" borderId="15" xfId="1" applyFont="1" applyFill="1" applyBorder="1" applyAlignment="1" applyProtection="1">
      <alignment vertical="center"/>
    </xf>
    <xf numFmtId="4" fontId="14" fillId="2" borderId="15" xfId="0" applyNumberFormat="1" applyFont="1" applyFill="1" applyBorder="1" applyAlignment="1" applyProtection="1">
      <alignment horizontal="center" vertical="center" wrapText="1"/>
    </xf>
    <xf numFmtId="4" fontId="14" fillId="2" borderId="16" xfId="0" applyNumberFormat="1" applyFont="1" applyFill="1" applyBorder="1" applyAlignment="1" applyProtection="1">
      <alignment horizontal="center" vertical="center" wrapText="1"/>
    </xf>
    <xf numFmtId="0" fontId="2" fillId="2" borderId="14" xfId="1" applyFont="1" applyFill="1" applyBorder="1" applyAlignment="1" applyProtection="1">
      <alignment vertical="center"/>
    </xf>
    <xf numFmtId="0" fontId="2" fillId="2" borderId="18" xfId="1" applyFont="1" applyFill="1" applyBorder="1" applyAlignment="1" applyProtection="1">
      <alignment vertical="center"/>
    </xf>
    <xf numFmtId="4" fontId="14" fillId="2" borderId="17" xfId="0" applyNumberFormat="1" applyFont="1" applyFill="1" applyBorder="1" applyAlignment="1" applyProtection="1">
      <alignment horizontal="center" vertical="center" wrapText="1"/>
    </xf>
    <xf numFmtId="0" fontId="2" fillId="2" borderId="55" xfId="1" applyFont="1" applyFill="1" applyBorder="1" applyAlignment="1" applyProtection="1">
      <alignment vertical="center"/>
    </xf>
    <xf numFmtId="0" fontId="2" fillId="2" borderId="71" xfId="1" applyFont="1" applyFill="1" applyBorder="1" applyAlignment="1" applyProtection="1">
      <alignment vertical="center"/>
    </xf>
    <xf numFmtId="4" fontId="10" fillId="7" borderId="43" xfId="1" applyNumberFormat="1" applyFont="1" applyFill="1" applyBorder="1" applyAlignment="1" applyProtection="1">
      <alignment horizontal="center" vertical="center"/>
    </xf>
    <xf numFmtId="4" fontId="10" fillId="7" borderId="20" xfId="1" applyNumberFormat="1" applyFont="1" applyFill="1" applyBorder="1" applyAlignment="1" applyProtection="1">
      <alignment horizontal="center" vertical="center"/>
    </xf>
    <xf numFmtId="166" fontId="14" fillId="0" borderId="1" xfId="0" applyNumberFormat="1" applyFont="1" applyFill="1" applyBorder="1" applyProtection="1"/>
    <xf numFmtId="0" fontId="3" fillId="0" borderId="1" xfId="0" applyFont="1" applyBorder="1" applyAlignment="1" applyProtection="1">
      <alignment vertical="center" wrapText="1"/>
      <protection locked="0"/>
    </xf>
    <xf numFmtId="4" fontId="14" fillId="11" borderId="1" xfId="0" applyNumberFormat="1" applyFont="1" applyFill="1" applyBorder="1" applyAlignment="1" applyProtection="1">
      <alignment horizontal="right" wrapText="1"/>
    </xf>
    <xf numFmtId="4" fontId="14" fillId="11" borderId="13" xfId="0" applyNumberFormat="1" applyFont="1" applyFill="1" applyBorder="1" applyAlignment="1" applyProtection="1">
      <alignment horizontal="right" wrapText="1"/>
    </xf>
    <xf numFmtId="4" fontId="14" fillId="7" borderId="3" xfId="0" applyNumberFormat="1" applyFont="1" applyFill="1" applyBorder="1" applyAlignment="1" applyProtection="1">
      <alignment horizontal="right" wrapText="1"/>
    </xf>
    <xf numFmtId="4" fontId="14" fillId="7" borderId="16" xfId="0" applyNumberFormat="1" applyFont="1" applyFill="1" applyBorder="1" applyAlignment="1" applyProtection="1">
      <alignment horizontal="right" wrapText="1"/>
    </xf>
    <xf numFmtId="4" fontId="14" fillId="7" borderId="1" xfId="0" applyNumberFormat="1" applyFont="1" applyFill="1" applyBorder="1" applyAlignment="1" applyProtection="1">
      <alignment horizontal="center"/>
      <protection locked="0"/>
    </xf>
    <xf numFmtId="4" fontId="14" fillId="7" borderId="1" xfId="0" applyNumberFormat="1" applyFont="1" applyFill="1" applyBorder="1" applyAlignment="1" applyProtection="1">
      <alignment horizontal="center"/>
    </xf>
    <xf numFmtId="166" fontId="5" fillId="3" borderId="8" xfId="0" applyNumberFormat="1" applyFont="1" applyFill="1" applyBorder="1"/>
    <xf numFmtId="166" fontId="30" fillId="3" borderId="8" xfId="0" applyNumberFormat="1" applyFont="1" applyFill="1" applyBorder="1"/>
    <xf numFmtId="4" fontId="8" fillId="2" borderId="0" xfId="0" applyNumberFormat="1" applyFont="1" applyFill="1" applyBorder="1" applyAlignment="1">
      <alignment horizontal="center" vertical="center"/>
    </xf>
    <xf numFmtId="0" fontId="33" fillId="0" borderId="63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70" xfId="0" applyFont="1" applyBorder="1" applyAlignment="1">
      <alignment horizontal="center" vertical="center"/>
    </xf>
    <xf numFmtId="4" fontId="2" fillId="2" borderId="45" xfId="0" applyNumberFormat="1" applyFont="1" applyFill="1" applyBorder="1" applyAlignment="1">
      <alignment horizontal="center" vertical="center" wrapText="1"/>
    </xf>
    <xf numFmtId="4" fontId="2" fillId="2" borderId="48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4" fillId="0" borderId="20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78" fillId="0" borderId="20" xfId="0" applyFont="1" applyBorder="1" applyAlignment="1">
      <alignment horizontal="center" vertical="center"/>
    </xf>
    <xf numFmtId="0" fontId="78" fillId="0" borderId="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" fontId="2" fillId="2" borderId="10" xfId="1" applyNumberFormat="1" applyFont="1" applyFill="1" applyBorder="1" applyAlignment="1" applyProtection="1">
      <alignment horizontal="center" vertical="center"/>
    </xf>
    <xf numFmtId="4" fontId="2" fillId="2" borderId="46" xfId="1" applyNumberFormat="1" applyFont="1" applyFill="1" applyBorder="1" applyAlignment="1" applyProtection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left" vertical="center" wrapText="1"/>
    </xf>
    <xf numFmtId="0" fontId="78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" fontId="2" fillId="2" borderId="22" xfId="1" applyNumberFormat="1" applyFont="1" applyFill="1" applyBorder="1" applyAlignment="1" applyProtection="1">
      <alignment horizontal="center" vertical="center"/>
    </xf>
    <xf numFmtId="4" fontId="2" fillId="2" borderId="75" xfId="1" applyNumberFormat="1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" fontId="2" fillId="2" borderId="16" xfId="1" applyNumberFormat="1" applyFont="1" applyFill="1" applyBorder="1" applyAlignment="1" applyProtection="1">
      <alignment horizontal="center" vertical="center"/>
    </xf>
    <xf numFmtId="0" fontId="20" fillId="0" borderId="2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4" fontId="2" fillId="2" borderId="20" xfId="1" applyNumberFormat="1" applyFont="1" applyFill="1" applyBorder="1" applyAlignment="1" applyProtection="1">
      <alignment horizontal="center" vertical="center"/>
    </xf>
    <xf numFmtId="4" fontId="2" fillId="2" borderId="15" xfId="1" applyNumberFormat="1" applyFont="1" applyFill="1" applyBorder="1" applyAlignment="1" applyProtection="1">
      <alignment horizontal="center" vertical="center"/>
    </xf>
    <xf numFmtId="4" fontId="14" fillId="2" borderId="0" xfId="0" applyNumberFormat="1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2" borderId="76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left" vertical="center" wrapText="1"/>
    </xf>
    <xf numFmtId="0" fontId="14" fillId="2" borderId="33" xfId="0" applyFont="1" applyFill="1" applyBorder="1" applyAlignment="1">
      <alignment horizontal="left" vertical="center" wrapText="1"/>
    </xf>
    <xf numFmtId="0" fontId="8" fillId="2" borderId="43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 wrapText="1"/>
    </xf>
    <xf numFmtId="4" fontId="2" fillId="2" borderId="47" xfId="1" applyNumberFormat="1" applyFont="1" applyFill="1" applyBorder="1" applyAlignment="1" applyProtection="1">
      <alignment horizontal="center" vertical="center"/>
    </xf>
    <xf numFmtId="0" fontId="3" fillId="14" borderId="19" xfId="0" applyFont="1" applyFill="1" applyBorder="1" applyAlignment="1">
      <alignment horizontal="center" vertical="center"/>
    </xf>
    <xf numFmtId="0" fontId="3" fillId="14" borderId="14" xfId="0" applyFont="1" applyFill="1" applyBorder="1" applyAlignment="1">
      <alignment horizontal="center" vertical="center"/>
    </xf>
    <xf numFmtId="0" fontId="14" fillId="14" borderId="20" xfId="0" applyFont="1" applyFill="1" applyBorder="1" applyAlignment="1">
      <alignment horizontal="left" vertical="center" wrapText="1"/>
    </xf>
    <xf numFmtId="0" fontId="14" fillId="14" borderId="15" xfId="0" applyFont="1" applyFill="1" applyBorder="1" applyAlignment="1">
      <alignment horizontal="left" vertical="center" wrapText="1"/>
    </xf>
    <xf numFmtId="0" fontId="8" fillId="14" borderId="20" xfId="0" applyFont="1" applyFill="1" applyBorder="1" applyAlignment="1">
      <alignment horizontal="center" vertical="center"/>
    </xf>
    <xf numFmtId="0" fontId="8" fillId="14" borderId="15" xfId="0" applyFont="1" applyFill="1" applyBorder="1" applyAlignment="1">
      <alignment horizontal="center" vertical="center"/>
    </xf>
    <xf numFmtId="0" fontId="8" fillId="14" borderId="20" xfId="0" applyFont="1" applyFill="1" applyBorder="1" applyAlignment="1">
      <alignment horizontal="center" vertical="center" wrapText="1"/>
    </xf>
    <xf numFmtId="0" fontId="8" fillId="14" borderId="15" xfId="0" applyFont="1" applyFill="1" applyBorder="1" applyAlignment="1">
      <alignment horizontal="center" vertical="center" wrapText="1"/>
    </xf>
    <xf numFmtId="4" fontId="2" fillId="14" borderId="40" xfId="1" applyNumberFormat="1" applyFont="1" applyFill="1" applyBorder="1" applyAlignment="1" applyProtection="1">
      <alignment horizontal="center" vertical="center"/>
    </xf>
    <xf numFmtId="4" fontId="2" fillId="14" borderId="37" xfId="1" applyNumberFormat="1" applyFont="1" applyFill="1" applyBorder="1" applyAlignment="1" applyProtection="1">
      <alignment horizontal="center" vertical="center"/>
    </xf>
    <xf numFmtId="0" fontId="14" fillId="19" borderId="11" xfId="0" applyFont="1" applyFill="1" applyBorder="1" applyAlignment="1">
      <alignment horizontal="left" vertical="center" wrapText="1"/>
    </xf>
    <xf numFmtId="0" fontId="14" fillId="19" borderId="17" xfId="0" applyFont="1" applyFill="1" applyBorder="1" applyAlignment="1">
      <alignment horizontal="left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14" fillId="19" borderId="34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4" fontId="2" fillId="2" borderId="5" xfId="1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3" fillId="12" borderId="20" xfId="0" applyFont="1" applyFill="1" applyBorder="1" applyAlignment="1">
      <alignment horizontal="left" vertical="center" wrapText="1"/>
    </xf>
    <xf numFmtId="0" fontId="3" fillId="12" borderId="15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/>
    </xf>
    <xf numFmtId="4" fontId="2" fillId="2" borderId="40" xfId="1" applyNumberFormat="1" applyFont="1" applyFill="1" applyBorder="1" applyAlignment="1" applyProtection="1">
      <alignment horizontal="center" vertical="center"/>
    </xf>
    <xf numFmtId="4" fontId="2" fillId="2" borderId="43" xfId="1" applyNumberFormat="1" applyFont="1" applyFill="1" applyBorder="1" applyAlignment="1" applyProtection="1">
      <alignment horizontal="center" vertical="center"/>
    </xf>
    <xf numFmtId="0" fontId="43" fillId="2" borderId="20" xfId="0" applyFont="1" applyFill="1" applyBorder="1" applyAlignment="1">
      <alignment horizontal="center" vertical="center"/>
    </xf>
    <xf numFmtId="0" fontId="43" fillId="2" borderId="15" xfId="0" applyFont="1" applyFill="1" applyBorder="1" applyAlignment="1">
      <alignment horizontal="center" vertical="center"/>
    </xf>
    <xf numFmtId="0" fontId="43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14" fillId="19" borderId="45" xfId="0" applyFont="1" applyFill="1" applyBorder="1" applyAlignment="1">
      <alignment horizontal="center" vertical="center" wrapText="1"/>
    </xf>
    <xf numFmtId="0" fontId="14" fillId="19" borderId="36" xfId="0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4" fontId="2" fillId="2" borderId="40" xfId="1" applyNumberFormat="1" applyFont="1" applyFill="1" applyBorder="1" applyAlignment="1" applyProtection="1">
      <alignment horizontal="center" vertical="center" wrapText="1"/>
    </xf>
    <xf numFmtId="4" fontId="2" fillId="2" borderId="37" xfId="1" applyNumberFormat="1" applyFont="1" applyFill="1" applyBorder="1" applyAlignment="1" applyProtection="1">
      <alignment horizontal="center" vertical="center" wrapText="1"/>
    </xf>
    <xf numFmtId="0" fontId="14" fillId="0" borderId="40" xfId="0" applyFont="1" applyBorder="1" applyAlignment="1">
      <alignment horizontal="left" vertical="center" wrapText="1"/>
    </xf>
    <xf numFmtId="0" fontId="14" fillId="0" borderId="37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center" vertical="center" wrapText="1"/>
    </xf>
    <xf numFmtId="0" fontId="3" fillId="5" borderId="58" xfId="0" applyFont="1" applyFill="1" applyBorder="1" applyAlignment="1">
      <alignment horizontal="center" vertical="center"/>
    </xf>
    <xf numFmtId="0" fontId="3" fillId="5" borderId="55" xfId="0" applyFont="1" applyFill="1" applyBorder="1" applyAlignment="1">
      <alignment horizontal="center" vertical="center"/>
    </xf>
    <xf numFmtId="0" fontId="2" fillId="12" borderId="45" xfId="0" applyFont="1" applyFill="1" applyBorder="1" applyAlignment="1">
      <alignment horizontal="left" vertical="center" wrapText="1"/>
    </xf>
    <xf numFmtId="0" fontId="2" fillId="12" borderId="36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4" fontId="2" fillId="2" borderId="37" xfId="1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3" fillId="5" borderId="54" xfId="0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14" fillId="0" borderId="45" xfId="0" applyFont="1" applyBorder="1" applyAlignment="1">
      <alignment horizontal="left" vertical="center" wrapText="1"/>
    </xf>
    <xf numFmtId="0" fontId="14" fillId="0" borderId="36" xfId="0" applyFont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4" fontId="2" fillId="2" borderId="6" xfId="1" applyNumberFormat="1" applyFont="1" applyFill="1" applyBorder="1" applyAlignment="1" applyProtection="1">
      <alignment horizontal="center" vertical="center"/>
    </xf>
    <xf numFmtId="0" fontId="14" fillId="2" borderId="40" xfId="0" applyFont="1" applyFill="1" applyBorder="1" applyAlignment="1">
      <alignment horizontal="left" vertical="center" wrapText="1"/>
    </xf>
    <xf numFmtId="0" fontId="14" fillId="2" borderId="37" xfId="0" applyFont="1" applyFill="1" applyBorder="1" applyAlignment="1">
      <alignment horizontal="left" vertical="center" wrapText="1"/>
    </xf>
    <xf numFmtId="1" fontId="41" fillId="5" borderId="22" xfId="0" applyNumberFormat="1" applyFont="1" applyFill="1" applyBorder="1" applyAlignment="1">
      <alignment horizontal="center" vertical="center"/>
    </xf>
    <xf numFmtId="1" fontId="41" fillId="5" borderId="23" xfId="0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4" fillId="2" borderId="22" xfId="0" applyNumberFormat="1" applyFont="1" applyFill="1" applyBorder="1" applyAlignment="1">
      <alignment horizontal="center" vertical="center" wrapText="1"/>
    </xf>
    <xf numFmtId="0" fontId="14" fillId="2" borderId="75" xfId="0" applyNumberFormat="1" applyFont="1" applyFill="1" applyBorder="1" applyAlignment="1">
      <alignment horizontal="center" vertical="center" wrapText="1"/>
    </xf>
    <xf numFmtId="164" fontId="14" fillId="2" borderId="63" xfId="0" applyNumberFormat="1" applyFont="1" applyFill="1" applyBorder="1" applyAlignment="1">
      <alignment horizontal="center" vertical="center"/>
    </xf>
    <xf numFmtId="164" fontId="14" fillId="2" borderId="29" xfId="0" applyNumberFormat="1" applyFont="1" applyFill="1" applyBorder="1" applyAlignment="1">
      <alignment horizontal="center" vertical="center"/>
    </xf>
    <xf numFmtId="164" fontId="14" fillId="2" borderId="70" xfId="0" applyNumberFormat="1" applyFont="1" applyFill="1" applyBorder="1" applyAlignment="1">
      <alignment horizontal="center" vertical="center"/>
    </xf>
    <xf numFmtId="0" fontId="14" fillId="0" borderId="4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14" fillId="0" borderId="43" xfId="0" applyFont="1" applyBorder="1" applyAlignment="1">
      <alignment horizontal="left" vertical="center" wrapText="1"/>
    </xf>
    <xf numFmtId="0" fontId="74" fillId="0" borderId="2" xfId="0" applyNumberFormat="1" applyFont="1" applyBorder="1" applyAlignment="1">
      <alignment horizontal="center" vertical="center" wrapText="1"/>
    </xf>
    <xf numFmtId="0" fontId="74" fillId="0" borderId="1" xfId="0" applyNumberFormat="1" applyFont="1" applyBorder="1" applyAlignment="1">
      <alignment horizontal="center" vertical="center" wrapText="1"/>
    </xf>
    <xf numFmtId="4" fontId="8" fillId="2" borderId="23" xfId="0" applyNumberFormat="1" applyFont="1" applyFill="1" applyBorder="1" applyAlignment="1">
      <alignment horizontal="center" vertical="center"/>
    </xf>
    <xf numFmtId="4" fontId="8" fillId="2" borderId="40" xfId="0" applyNumberFormat="1" applyFont="1" applyFill="1" applyBorder="1" applyAlignment="1">
      <alignment horizontal="center" vertical="center"/>
    </xf>
    <xf numFmtId="4" fontId="8" fillId="2" borderId="48" xfId="0" applyNumberFormat="1" applyFont="1" applyFill="1" applyBorder="1" applyAlignment="1">
      <alignment horizontal="center" vertical="center"/>
    </xf>
    <xf numFmtId="4" fontId="8" fillId="2" borderId="45" xfId="0" applyNumberFormat="1" applyFont="1" applyFill="1" applyBorder="1" applyAlignment="1">
      <alignment horizontal="center" vertical="center"/>
    </xf>
    <xf numFmtId="49" fontId="11" fillId="0" borderId="0" xfId="1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2" fillId="2" borderId="20" xfId="1" applyFont="1" applyFill="1" applyBorder="1" applyAlignment="1">
      <alignment horizontal="center" vertical="center"/>
    </xf>
    <xf numFmtId="0" fontId="17" fillId="2" borderId="1" xfId="1" applyFont="1" applyFill="1" applyBorder="1" applyAlignment="1">
      <alignment horizontal="center" vertical="center"/>
    </xf>
    <xf numFmtId="49" fontId="36" fillId="2" borderId="15" xfId="1" applyNumberFormat="1" applyFont="1" applyFill="1" applyBorder="1" applyAlignment="1">
      <alignment horizontal="left" vertical="top" wrapText="1" readingOrder="1"/>
    </xf>
    <xf numFmtId="164" fontId="35" fillId="2" borderId="1" xfId="1" applyNumberFormat="1" applyFont="1" applyFill="1" applyBorder="1" applyAlignment="1">
      <alignment horizontal="left" vertical="center"/>
    </xf>
    <xf numFmtId="49" fontId="36" fillId="2" borderId="1" xfId="1" applyNumberFormat="1" applyFont="1" applyFill="1" applyBorder="1" applyAlignment="1">
      <alignment horizontal="left" vertical="top" wrapText="1" readingOrder="1"/>
    </xf>
    <xf numFmtId="0" fontId="11" fillId="2" borderId="12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36" fillId="2" borderId="1" xfId="1" applyFont="1" applyFill="1" applyBorder="1" applyAlignment="1">
      <alignment horizontal="left" vertical="center" wrapText="1" indent="1"/>
    </xf>
    <xf numFmtId="0" fontId="36" fillId="2" borderId="13" xfId="1" applyFont="1" applyFill="1" applyBorder="1" applyAlignment="1">
      <alignment horizontal="left" vertical="center" wrapText="1" indent="1"/>
    </xf>
    <xf numFmtId="0" fontId="11" fillId="2" borderId="46" xfId="1" applyFont="1" applyFill="1" applyBorder="1" applyAlignment="1">
      <alignment horizontal="center" vertical="center" wrapText="1"/>
    </xf>
    <xf numFmtId="0" fontId="11" fillId="2" borderId="47" xfId="1" applyFont="1" applyFill="1" applyBorder="1" applyAlignment="1">
      <alignment horizontal="center" vertical="center" wrapText="1"/>
    </xf>
    <xf numFmtId="0" fontId="11" fillId="2" borderId="32" xfId="1" applyFont="1" applyFill="1" applyBorder="1" applyAlignment="1">
      <alignment horizontal="center" vertical="center" wrapText="1"/>
    </xf>
    <xf numFmtId="0" fontId="2" fillId="2" borderId="74" xfId="1" applyFont="1" applyFill="1" applyBorder="1" applyAlignment="1">
      <alignment horizontal="center" vertical="center" wrapText="1"/>
    </xf>
    <xf numFmtId="0" fontId="2" fillId="2" borderId="41" xfId="1" applyFont="1" applyFill="1" applyBorder="1" applyAlignment="1">
      <alignment horizontal="center" vertical="center" wrapText="1"/>
    </xf>
    <xf numFmtId="0" fontId="2" fillId="2" borderId="42" xfId="1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/>
    </xf>
    <xf numFmtId="0" fontId="11" fillId="2" borderId="49" xfId="1" applyFont="1" applyFill="1" applyBorder="1" applyAlignment="1">
      <alignment horizontal="center" vertical="center" wrapText="1"/>
    </xf>
    <xf numFmtId="0" fontId="11" fillId="2" borderId="72" xfId="1" applyFont="1" applyFill="1" applyBorder="1" applyAlignment="1">
      <alignment horizontal="center" vertical="center" wrapText="1"/>
    </xf>
    <xf numFmtId="0" fontId="11" fillId="2" borderId="59" xfId="1" applyFont="1" applyFill="1" applyBorder="1" applyAlignment="1">
      <alignment horizontal="center" vertical="center" wrapText="1"/>
    </xf>
    <xf numFmtId="0" fontId="2" fillId="2" borderId="24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35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12" fillId="2" borderId="11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36" fillId="0" borderId="1" xfId="1" applyFont="1" applyFill="1" applyBorder="1" applyAlignment="1">
      <alignment horizontal="left" vertical="center" wrapText="1"/>
    </xf>
    <xf numFmtId="0" fontId="36" fillId="0" borderId="13" xfId="1" applyFont="1" applyFill="1" applyBorder="1" applyAlignment="1">
      <alignment horizontal="left" vertical="center" wrapText="1"/>
    </xf>
    <xf numFmtId="0" fontId="36" fillId="0" borderId="15" xfId="1" applyFont="1" applyFill="1" applyBorder="1" applyAlignment="1">
      <alignment horizontal="left" vertical="center" wrapText="1"/>
    </xf>
    <xf numFmtId="0" fontId="36" fillId="0" borderId="18" xfId="1" applyFont="1" applyFill="1" applyBorder="1" applyAlignment="1">
      <alignment horizontal="left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4" fontId="12" fillId="2" borderId="20" xfId="1" applyNumberFormat="1" applyFont="1" applyFill="1" applyBorder="1" applyAlignment="1">
      <alignment horizontal="center" vertical="center"/>
    </xf>
    <xf numFmtId="4" fontId="12" fillId="2" borderId="40" xfId="1" applyNumberFormat="1" applyFont="1" applyFill="1" applyBorder="1" applyAlignment="1">
      <alignment horizontal="center" vertical="center"/>
    </xf>
    <xf numFmtId="4" fontId="12" fillId="2" borderId="48" xfId="1" applyNumberFormat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40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10" fillId="2" borderId="13" xfId="1" applyFont="1" applyFill="1" applyBorder="1" applyAlignment="1">
      <alignment horizontal="center" vertical="center" wrapText="1"/>
    </xf>
    <xf numFmtId="0" fontId="10" fillId="2" borderId="51" xfId="1" applyFont="1" applyFill="1" applyBorder="1" applyAlignment="1">
      <alignment horizontal="center" vertical="center" wrapText="1"/>
    </xf>
    <xf numFmtId="0" fontId="10" fillId="2" borderId="67" xfId="1" applyFont="1" applyFill="1" applyBorder="1" applyAlignment="1">
      <alignment horizontal="center" vertical="center" wrapText="1"/>
    </xf>
    <xf numFmtId="0" fontId="2" fillId="2" borderId="19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49" fontId="2" fillId="2" borderId="73" xfId="1" applyNumberFormat="1" applyFont="1" applyFill="1" applyBorder="1" applyAlignment="1">
      <alignment horizontal="center" vertical="center" wrapText="1"/>
    </xf>
    <xf numFmtId="49" fontId="2" fillId="2" borderId="65" xfId="1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35" fillId="0" borderId="1" xfId="1" applyFont="1" applyFill="1" applyBorder="1" applyAlignment="1">
      <alignment horizontal="left" vertical="center" wrapText="1" indent="1"/>
    </xf>
    <xf numFmtId="0" fontId="35" fillId="0" borderId="13" xfId="1" applyFont="1" applyFill="1" applyBorder="1" applyAlignment="1">
      <alignment horizontal="left" vertical="center" wrapText="1" indent="1"/>
    </xf>
    <xf numFmtId="0" fontId="36" fillId="0" borderId="1" xfId="1" applyFont="1" applyFill="1" applyBorder="1" applyAlignment="1">
      <alignment horizontal="left" vertical="center" wrapText="1" indent="2"/>
    </xf>
    <xf numFmtId="0" fontId="36" fillId="0" borderId="13" xfId="1" applyFont="1" applyFill="1" applyBorder="1" applyAlignment="1">
      <alignment horizontal="left" vertical="center" wrapText="1" indent="2"/>
    </xf>
    <xf numFmtId="0" fontId="36" fillId="0" borderId="15" xfId="1" applyFont="1" applyFill="1" applyBorder="1" applyAlignment="1">
      <alignment horizontal="left" vertical="center" wrapText="1" indent="2"/>
    </xf>
    <xf numFmtId="0" fontId="36" fillId="0" borderId="18" xfId="1" applyFont="1" applyFill="1" applyBorder="1" applyAlignment="1">
      <alignment horizontal="left" vertical="center" wrapText="1" indent="2"/>
    </xf>
    <xf numFmtId="49" fontId="2" fillId="2" borderId="19" xfId="1" applyNumberFormat="1" applyFont="1" applyFill="1" applyBorder="1" applyAlignment="1">
      <alignment horizontal="center" vertical="center"/>
    </xf>
    <xf numFmtId="49" fontId="2" fillId="2" borderId="12" xfId="1" applyNumberFormat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35" fillId="0" borderId="6" xfId="1" applyFont="1" applyFill="1" applyBorder="1" applyAlignment="1">
      <alignment horizontal="left" vertical="center" wrapText="1"/>
    </xf>
    <xf numFmtId="0" fontId="35" fillId="0" borderId="35" xfId="1" applyFont="1" applyFill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30" fillId="0" borderId="31" xfId="0" applyFont="1" applyBorder="1" applyAlignment="1">
      <alignment horizontal="left" vertical="center" wrapText="1"/>
    </xf>
    <xf numFmtId="0" fontId="28" fillId="0" borderId="4" xfId="0" applyFont="1" applyBorder="1" applyAlignment="1" applyProtection="1">
      <alignment horizontal="center" vertical="center" wrapText="1"/>
      <protection locked="0"/>
    </xf>
    <xf numFmtId="0" fontId="28" fillId="0" borderId="2" xfId="0" applyFont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>
      <alignment horizontal="center" vertical="center"/>
    </xf>
    <xf numFmtId="0" fontId="2" fillId="2" borderId="44" xfId="1" applyFont="1" applyFill="1" applyBorder="1" applyAlignment="1">
      <alignment horizontal="center" vertical="center"/>
    </xf>
    <xf numFmtId="0" fontId="35" fillId="2" borderId="8" xfId="1" applyFont="1" applyFill="1" applyBorder="1" applyAlignment="1">
      <alignment horizontal="left" vertical="center" wrapText="1"/>
    </xf>
    <xf numFmtId="0" fontId="35" fillId="2" borderId="9" xfId="1" applyFont="1" applyFill="1" applyBorder="1" applyAlignment="1">
      <alignment horizontal="left" vertical="center" wrapText="1"/>
    </xf>
    <xf numFmtId="4" fontId="36" fillId="9" borderId="3" xfId="1" applyNumberFormat="1" applyFont="1" applyFill="1" applyBorder="1" applyAlignment="1" applyProtection="1">
      <alignment horizontal="left" vertical="center" indent="1"/>
      <protection locked="0"/>
    </xf>
    <xf numFmtId="4" fontId="36" fillId="9" borderId="4" xfId="1" applyNumberFormat="1" applyFont="1" applyFill="1" applyBorder="1" applyAlignment="1" applyProtection="1">
      <alignment horizontal="left" vertical="center" indent="1"/>
      <protection locked="0"/>
    </xf>
    <xf numFmtId="4" fontId="36" fillId="9" borderId="65" xfId="1" applyNumberFormat="1" applyFont="1" applyFill="1" applyBorder="1" applyAlignment="1" applyProtection="1">
      <alignment horizontal="left" vertical="center" indent="1"/>
      <protection locked="0"/>
    </xf>
    <xf numFmtId="0" fontId="35" fillId="0" borderId="20" xfId="1" applyFont="1" applyFill="1" applyBorder="1" applyAlignment="1">
      <alignment horizontal="left" vertical="center" wrapText="1"/>
    </xf>
    <xf numFmtId="0" fontId="35" fillId="0" borderId="21" xfId="1" applyFont="1" applyFill="1" applyBorder="1" applyAlignment="1">
      <alignment horizontal="left" vertical="center" wrapText="1"/>
    </xf>
    <xf numFmtId="0" fontId="38" fillId="2" borderId="1" xfId="1" applyFont="1" applyFill="1" applyBorder="1" applyAlignment="1">
      <alignment horizontal="left" vertical="center" wrapText="1" indent="4"/>
    </xf>
    <xf numFmtId="0" fontId="38" fillId="2" borderId="13" xfId="1" applyFont="1" applyFill="1" applyBorder="1" applyAlignment="1">
      <alignment horizontal="left" vertical="center" wrapText="1" indent="4"/>
    </xf>
    <xf numFmtId="0" fontId="2" fillId="2" borderId="22" xfId="1" applyFont="1" applyFill="1" applyBorder="1" applyAlignment="1">
      <alignment horizontal="center" vertical="center" wrapText="1"/>
    </xf>
    <xf numFmtId="0" fontId="2" fillId="2" borderId="48" xfId="1" applyFont="1" applyFill="1" applyBorder="1" applyAlignment="1">
      <alignment horizontal="center" vertical="center" wrapText="1"/>
    </xf>
    <xf numFmtId="49" fontId="2" fillId="2" borderId="19" xfId="1" applyNumberFormat="1" applyFont="1" applyFill="1" applyBorder="1" applyAlignment="1">
      <alignment vertical="center"/>
    </xf>
    <xf numFmtId="49" fontId="2" fillId="2" borderId="12" xfId="1" applyNumberFormat="1" applyFont="1" applyFill="1" applyBorder="1" applyAlignment="1">
      <alignment vertical="center"/>
    </xf>
    <xf numFmtId="49" fontId="12" fillId="2" borderId="72" xfId="1" applyNumberFormat="1" applyFont="1" applyFill="1" applyBorder="1" applyAlignment="1">
      <alignment horizontal="center" vertical="center" wrapText="1"/>
    </xf>
    <xf numFmtId="49" fontId="12" fillId="2" borderId="59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8" fillId="0" borderId="3" xfId="0" applyFont="1" applyBorder="1" applyAlignment="1">
      <alignment horizontal="left" vertical="center" wrapText="1"/>
    </xf>
    <xf numFmtId="0" fontId="28" fillId="0" borderId="4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left" vertical="center" wrapText="1"/>
    </xf>
    <xf numFmtId="0" fontId="17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2" fillId="2" borderId="45" xfId="1" applyFont="1" applyFill="1" applyBorder="1" applyAlignment="1">
      <alignment horizontal="center" vertical="center" wrapText="1"/>
    </xf>
    <xf numFmtId="0" fontId="11" fillId="2" borderId="54" xfId="1" applyFont="1" applyFill="1" applyBorder="1" applyAlignment="1">
      <alignment horizontal="center" vertical="center" wrapText="1"/>
    </xf>
    <xf numFmtId="0" fontId="11" fillId="2" borderId="67" xfId="1" applyFont="1" applyFill="1" applyBorder="1" applyAlignment="1">
      <alignment horizontal="center" vertical="center" wrapText="1"/>
    </xf>
    <xf numFmtId="49" fontId="12" fillId="2" borderId="54" xfId="1" applyNumberFormat="1" applyFont="1" applyFill="1" applyBorder="1" applyAlignment="1">
      <alignment horizontal="center" vertical="center" wrapText="1"/>
    </xf>
    <xf numFmtId="49" fontId="12" fillId="2" borderId="65" xfId="1" applyNumberFormat="1" applyFont="1" applyFill="1" applyBorder="1" applyAlignment="1">
      <alignment horizontal="center" vertical="center" wrapText="1"/>
    </xf>
    <xf numFmtId="0" fontId="11" fillId="2" borderId="19" xfId="1" applyFont="1" applyFill="1" applyBorder="1" applyAlignment="1">
      <alignment horizontal="center" vertical="center" wrapText="1"/>
    </xf>
    <xf numFmtId="0" fontId="11" fillId="2" borderId="20" xfId="1" applyFont="1" applyFill="1" applyBorder="1" applyAlignment="1">
      <alignment horizontal="center" vertical="center" wrapText="1"/>
    </xf>
    <xf numFmtId="0" fontId="11" fillId="2" borderId="21" xfId="1" applyFont="1" applyFill="1" applyBorder="1" applyAlignment="1">
      <alignment horizontal="center" vertical="center" wrapText="1"/>
    </xf>
    <xf numFmtId="3" fontId="2" fillId="2" borderId="0" xfId="1" applyNumberFormat="1" applyFont="1" applyFill="1" applyBorder="1" applyAlignment="1">
      <alignment horizontal="center" vertical="center" wrapText="1"/>
    </xf>
    <xf numFmtId="0" fontId="14" fillId="0" borderId="19" xfId="1" applyFont="1" applyFill="1" applyBorder="1" applyAlignment="1" applyProtection="1">
      <alignment horizontal="center" vertical="center" wrapText="1"/>
    </xf>
    <xf numFmtId="0" fontId="14" fillId="0" borderId="21" xfId="1" applyFont="1" applyFill="1" applyBorder="1" applyAlignment="1" applyProtection="1">
      <alignment horizontal="center" vertical="center" wrapText="1"/>
    </xf>
    <xf numFmtId="166" fontId="2" fillId="0" borderId="12" xfId="1" applyNumberFormat="1" applyFont="1" applyFill="1" applyBorder="1" applyAlignment="1" applyProtection="1">
      <alignment horizontal="center" vertical="center" wrapText="1"/>
    </xf>
    <xf numFmtId="166" fontId="2" fillId="0" borderId="2" xfId="1" applyNumberFormat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>
      <alignment horizontal="left" vertical="center" wrapText="1"/>
    </xf>
    <xf numFmtId="4" fontId="67" fillId="2" borderId="0" xfId="1" applyNumberFormat="1" applyFont="1" applyFill="1" applyBorder="1" applyAlignment="1">
      <alignment horizontal="center" vertical="center" wrapText="1"/>
    </xf>
    <xf numFmtId="0" fontId="52" fillId="2" borderId="0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left" vertical="center" wrapText="1" indent="2"/>
    </xf>
    <xf numFmtId="0" fontId="12" fillId="2" borderId="15" xfId="1" applyFont="1" applyFill="1" applyBorder="1" applyAlignment="1">
      <alignment horizontal="left" vertical="center" wrapText="1" indent="2"/>
    </xf>
    <xf numFmtId="0" fontId="14" fillId="0" borderId="0" xfId="1" applyFont="1" applyFill="1" applyBorder="1" applyAlignment="1" applyProtection="1">
      <alignment horizontal="center" vertical="center" wrapText="1"/>
      <protection locked="0"/>
    </xf>
    <xf numFmtId="166" fontId="2" fillId="0" borderId="13" xfId="1" applyNumberFormat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15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left" vertical="center" wrapText="1"/>
    </xf>
    <xf numFmtId="0" fontId="10" fillId="2" borderId="0" xfId="1" applyFont="1" applyFill="1" applyBorder="1" applyAlignment="1">
      <alignment horizontal="left" vertical="center"/>
    </xf>
    <xf numFmtId="0" fontId="11" fillId="2" borderId="5" xfId="1" applyFont="1" applyFill="1" applyBorder="1" applyAlignment="1">
      <alignment horizontal="left" vertical="center"/>
    </xf>
    <xf numFmtId="0" fontId="11" fillId="2" borderId="20" xfId="1" applyFont="1" applyFill="1" applyBorder="1" applyAlignment="1">
      <alignment horizontal="left" vertical="center" wrapText="1"/>
    </xf>
    <xf numFmtId="0" fontId="69" fillId="2" borderId="1" xfId="1" applyFont="1" applyFill="1" applyBorder="1" applyAlignment="1">
      <alignment horizontal="left" vertical="center" wrapText="1" indent="3"/>
    </xf>
    <xf numFmtId="0" fontId="56" fillId="2" borderId="1" xfId="1" applyFont="1" applyFill="1" applyBorder="1" applyAlignment="1">
      <alignment horizontal="left" vertical="center" wrapText="1" indent="8"/>
    </xf>
    <xf numFmtId="0" fontId="12" fillId="2" borderId="5" xfId="1" applyFont="1" applyFill="1" applyBorder="1" applyAlignment="1">
      <alignment horizontal="left" vertical="center" wrapText="1" indent="3"/>
    </xf>
    <xf numFmtId="0" fontId="11" fillId="2" borderId="6" xfId="1" applyFont="1" applyFill="1" applyBorder="1" applyAlignment="1">
      <alignment horizontal="left" vertical="center" wrapText="1"/>
    </xf>
    <xf numFmtId="0" fontId="12" fillId="2" borderId="1" xfId="1" applyFont="1" applyFill="1" applyBorder="1" applyAlignment="1">
      <alignment horizontal="left" vertical="center" wrapText="1" indent="3"/>
    </xf>
    <xf numFmtId="0" fontId="26" fillId="2" borderId="1" xfId="1" applyFont="1" applyFill="1" applyBorder="1" applyAlignment="1">
      <alignment horizontal="center" vertical="center" wrapText="1"/>
    </xf>
    <xf numFmtId="0" fontId="68" fillId="2" borderId="1" xfId="1" applyFont="1" applyFill="1" applyBorder="1" applyAlignment="1">
      <alignment horizontal="left" vertical="center" wrapText="1" indent="2"/>
    </xf>
    <xf numFmtId="0" fontId="14" fillId="2" borderId="1" xfId="0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 indent="3"/>
    </xf>
    <xf numFmtId="0" fontId="2" fillId="0" borderId="1" xfId="1" applyFont="1" applyFill="1" applyBorder="1" applyAlignment="1">
      <alignment horizontal="left" vertical="center" wrapText="1"/>
    </xf>
    <xf numFmtId="0" fontId="25" fillId="2" borderId="1" xfId="1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left" vertical="center" wrapText="1"/>
    </xf>
    <xf numFmtId="0" fontId="25" fillId="2" borderId="20" xfId="1" applyFont="1" applyFill="1" applyBorder="1" applyAlignment="1">
      <alignment horizontal="left" vertical="center" wrapText="1"/>
    </xf>
    <xf numFmtId="0" fontId="26" fillId="2" borderId="1" xfId="1" applyFont="1" applyFill="1" applyBorder="1" applyAlignment="1">
      <alignment horizontal="center" wrapText="1"/>
    </xf>
    <xf numFmtId="0" fontId="10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0" fillId="2" borderId="20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 indent="3"/>
    </xf>
    <xf numFmtId="0" fontId="25" fillId="0" borderId="1" xfId="1" applyFont="1" applyFill="1" applyBorder="1" applyAlignment="1">
      <alignment horizontal="left" vertical="center" wrapText="1"/>
    </xf>
    <xf numFmtId="0" fontId="30" fillId="2" borderId="1" xfId="1" applyFont="1" applyFill="1" applyBorder="1" applyAlignment="1">
      <alignment horizontal="left" vertical="center" wrapText="1"/>
    </xf>
    <xf numFmtId="0" fontId="25" fillId="2" borderId="5" xfId="1" applyFont="1" applyFill="1" applyBorder="1" applyAlignment="1">
      <alignment horizontal="left" vertical="center" wrapText="1"/>
    </xf>
    <xf numFmtId="0" fontId="25" fillId="0" borderId="1" xfId="1" applyFont="1" applyFill="1" applyBorder="1" applyAlignment="1">
      <alignment horizontal="left" vertical="center"/>
    </xf>
    <xf numFmtId="0" fontId="17" fillId="0" borderId="0" xfId="1" applyFont="1" applyFill="1" applyBorder="1" applyAlignment="1" applyProtection="1">
      <alignment horizontal="center" vertical="center"/>
      <protection locked="0"/>
    </xf>
    <xf numFmtId="0" fontId="10" fillId="0" borderId="15" xfId="1" applyFont="1" applyFill="1" applyBorder="1" applyAlignment="1">
      <alignment horizontal="left" vertical="center" wrapText="1"/>
    </xf>
    <xf numFmtId="0" fontId="10" fillId="0" borderId="20" xfId="1" applyFont="1" applyFill="1" applyBorder="1" applyAlignment="1">
      <alignment horizontal="left" vertical="center" wrapText="1"/>
    </xf>
    <xf numFmtId="0" fontId="10" fillId="0" borderId="3" xfId="1" applyFont="1" applyFill="1" applyBorder="1" applyAlignment="1">
      <alignment horizontal="left" vertical="center" wrapText="1"/>
    </xf>
    <xf numFmtId="0" fontId="10" fillId="0" borderId="4" xfId="1" applyFont="1" applyFill="1" applyBorder="1" applyAlignment="1">
      <alignment horizontal="left" vertical="center" wrapText="1"/>
    </xf>
    <xf numFmtId="0" fontId="10" fillId="0" borderId="2" xfId="1" applyFont="1" applyFill="1" applyBorder="1" applyAlignment="1">
      <alignment horizontal="left" vertical="center" wrapText="1"/>
    </xf>
    <xf numFmtId="0" fontId="2" fillId="0" borderId="15" xfId="1" applyFont="1" applyFill="1" applyBorder="1" applyAlignment="1">
      <alignment horizontal="left" vertical="center" wrapText="1"/>
    </xf>
    <xf numFmtId="0" fontId="15" fillId="2" borderId="8" xfId="1" applyFont="1" applyFill="1" applyBorder="1" applyAlignment="1">
      <alignment horizontal="left" vertical="center" wrapText="1"/>
    </xf>
    <xf numFmtId="0" fontId="15" fillId="2" borderId="0" xfId="1" applyFont="1" applyFill="1" applyBorder="1" applyAlignment="1">
      <alignment horizontal="left" vertical="center"/>
    </xf>
    <xf numFmtId="0" fontId="33" fillId="2" borderId="20" xfId="1" applyFont="1" applyFill="1" applyBorder="1" applyAlignment="1">
      <alignment horizontal="center" vertical="center"/>
    </xf>
    <xf numFmtId="0" fontId="33" fillId="2" borderId="3" xfId="1" applyFont="1" applyFill="1" applyBorder="1" applyAlignment="1">
      <alignment horizontal="center" vertical="center"/>
    </xf>
    <xf numFmtId="0" fontId="33" fillId="2" borderId="4" xfId="1" applyFont="1" applyFill="1" applyBorder="1" applyAlignment="1">
      <alignment horizontal="center" vertical="center"/>
    </xf>
    <xf numFmtId="0" fontId="33" fillId="2" borderId="2" xfId="1" applyFont="1" applyFill="1" applyBorder="1" applyAlignment="1">
      <alignment horizontal="center" vertical="center"/>
    </xf>
    <xf numFmtId="0" fontId="12" fillId="2" borderId="20" xfId="1" applyFont="1" applyFill="1" applyBorder="1" applyAlignment="1">
      <alignment horizontal="center" vertical="center" wrapText="1"/>
    </xf>
    <xf numFmtId="0" fontId="12" fillId="2" borderId="21" xfId="1" applyFont="1" applyFill="1" applyBorder="1" applyAlignment="1">
      <alignment horizontal="center" vertical="center" wrapText="1"/>
    </xf>
    <xf numFmtId="0" fontId="12" fillId="0" borderId="12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12" fillId="0" borderId="63" xfId="1" applyFont="1" applyFill="1" applyBorder="1" applyAlignment="1">
      <alignment horizontal="center" vertical="center"/>
    </xf>
    <xf numFmtId="0" fontId="12" fillId="0" borderId="23" xfId="1" applyFont="1" applyFill="1" applyBorder="1" applyAlignment="1">
      <alignment horizontal="center" vertical="center"/>
    </xf>
    <xf numFmtId="0" fontId="12" fillId="0" borderId="64" xfId="1" applyFont="1" applyFill="1" applyBorder="1" applyAlignment="1">
      <alignment horizontal="center" vertical="center"/>
    </xf>
    <xf numFmtId="0" fontId="12" fillId="0" borderId="26" xfId="1" applyFont="1" applyFill="1" applyBorder="1" applyAlignment="1">
      <alignment horizontal="center" vertical="center"/>
    </xf>
    <xf numFmtId="0" fontId="12" fillId="0" borderId="22" xfId="1" applyFont="1" applyFill="1" applyBorder="1" applyAlignment="1">
      <alignment horizontal="center" vertical="center"/>
    </xf>
    <xf numFmtId="0" fontId="12" fillId="0" borderId="29" xfId="1" applyFont="1" applyFill="1" applyBorder="1" applyAlignment="1">
      <alignment horizontal="center" vertical="center"/>
    </xf>
    <xf numFmtId="0" fontId="12" fillId="0" borderId="32" xfId="1" applyFont="1" applyFill="1" applyBorder="1" applyAlignment="1">
      <alignment horizontal="center" vertical="center"/>
    </xf>
    <xf numFmtId="0" fontId="12" fillId="0" borderId="31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left" vertical="center" wrapText="1"/>
    </xf>
    <xf numFmtId="4" fontId="14" fillId="2" borderId="20" xfId="0" applyNumberFormat="1" applyFont="1" applyFill="1" applyBorder="1" applyAlignment="1">
      <alignment horizontal="center" vertical="center" wrapText="1"/>
    </xf>
    <xf numFmtId="4" fontId="14" fillId="2" borderId="21" xfId="0" applyNumberFormat="1" applyFont="1" applyFill="1" applyBorder="1" applyAlignment="1">
      <alignment horizontal="center" vertical="center" wrapText="1"/>
    </xf>
    <xf numFmtId="4" fontId="14" fillId="2" borderId="13" xfId="0" applyNumberFormat="1" applyFont="1" applyFill="1" applyBorder="1" applyAlignment="1">
      <alignment horizontal="center" vertical="center" wrapText="1"/>
    </xf>
    <xf numFmtId="0" fontId="12" fillId="0" borderId="14" xfId="1" applyFont="1" applyFill="1" applyBorder="1" applyAlignment="1">
      <alignment horizontal="center" vertical="center"/>
    </xf>
    <xf numFmtId="0" fontId="12" fillId="0" borderId="15" xfId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16" fontId="26" fillId="2" borderId="12" xfId="1" applyNumberFormat="1" applyFont="1" applyFill="1" applyBorder="1" applyAlignment="1">
      <alignment horizontal="left" wrapText="1" indent="2"/>
    </xf>
    <xf numFmtId="16" fontId="26" fillId="2" borderId="1" xfId="1" applyNumberFormat="1" applyFont="1" applyFill="1" applyBorder="1" applyAlignment="1">
      <alignment horizontal="left" wrapText="1" indent="2"/>
    </xf>
    <xf numFmtId="0" fontId="25" fillId="2" borderId="15" xfId="1" applyFont="1" applyFill="1" applyBorder="1" applyAlignment="1">
      <alignment horizontal="left" vertical="center" wrapText="1"/>
    </xf>
    <xf numFmtId="0" fontId="9" fillId="2" borderId="0" xfId="1" applyFont="1" applyFill="1" applyBorder="1" applyAlignment="1">
      <alignment horizontal="left" vertical="center"/>
    </xf>
    <xf numFmtId="0" fontId="9" fillId="2" borderId="0" xfId="1" applyFont="1" applyFill="1" applyBorder="1" applyAlignment="1">
      <alignment horizontal="left" vertical="center" wrapText="1"/>
    </xf>
    <xf numFmtId="0" fontId="9" fillId="2" borderId="0" xfId="7" applyFont="1" applyFill="1" applyBorder="1" applyAlignment="1">
      <alignment horizontal="left" vertical="center"/>
    </xf>
    <xf numFmtId="16" fontId="26" fillId="2" borderId="14" xfId="1" applyNumberFormat="1" applyFont="1" applyFill="1" applyBorder="1" applyAlignment="1">
      <alignment horizontal="left" wrapText="1" indent="2"/>
    </xf>
    <xf numFmtId="16" fontId="26" fillId="2" borderId="15" xfId="1" applyNumberFormat="1" applyFont="1" applyFill="1" applyBorder="1" applyAlignment="1">
      <alignment horizontal="left" wrapText="1" indent="2"/>
    </xf>
    <xf numFmtId="0" fontId="17" fillId="2" borderId="19" xfId="1" applyFont="1" applyFill="1" applyBorder="1" applyAlignment="1">
      <alignment horizontal="center" vertical="center"/>
    </xf>
    <xf numFmtId="0" fontId="17" fillId="2" borderId="12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left" vertical="center" wrapText="1"/>
    </xf>
    <xf numFmtId="0" fontId="9" fillId="2" borderId="0" xfId="1" applyFont="1" applyFill="1" applyBorder="1" applyAlignment="1">
      <alignment horizontal="right"/>
    </xf>
    <xf numFmtId="0" fontId="2" fillId="0" borderId="20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4" fontId="14" fillId="2" borderId="0" xfId="0" applyNumberFormat="1" applyFont="1" applyFill="1" applyBorder="1" applyAlignment="1">
      <alignment horizontal="center" vertical="center" wrapText="1"/>
    </xf>
    <xf numFmtId="49" fontId="26" fillId="2" borderId="19" xfId="1" applyNumberFormat="1" applyFont="1" applyFill="1" applyBorder="1" applyAlignment="1">
      <alignment horizontal="center" vertical="center" wrapText="1"/>
    </xf>
    <xf numFmtId="0" fontId="26" fillId="2" borderId="20" xfId="1" applyFont="1" applyFill="1" applyBorder="1" applyAlignment="1">
      <alignment horizontal="center" vertical="center" wrapText="1"/>
    </xf>
    <xf numFmtId="0" fontId="26" fillId="2" borderId="1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vertical="center" wrapText="1"/>
    </xf>
    <xf numFmtId="0" fontId="9" fillId="0" borderId="0" xfId="1" applyFont="1" applyFill="1" applyBorder="1" applyAlignment="1">
      <alignment horizontal="right" vertical="center"/>
    </xf>
    <xf numFmtId="49" fontId="17" fillId="2" borderId="20" xfId="1" applyNumberFormat="1" applyFont="1" applyFill="1" applyBorder="1" applyAlignment="1">
      <alignment horizontal="center" vertical="center" wrapText="1"/>
    </xf>
    <xf numFmtId="49" fontId="17" fillId="2" borderId="1" xfId="1" applyNumberFormat="1" applyFont="1" applyFill="1" applyBorder="1" applyAlignment="1">
      <alignment horizontal="center" vertical="center" wrapText="1"/>
    </xf>
    <xf numFmtId="0" fontId="17" fillId="2" borderId="20" xfId="1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7" fillId="0" borderId="19" xfId="1" applyFont="1" applyFill="1" applyBorder="1" applyAlignment="1">
      <alignment horizontal="center" vertical="center"/>
    </xf>
    <xf numFmtId="0" fontId="17" fillId="0" borderId="12" xfId="1" applyFont="1" applyFill="1" applyBorder="1" applyAlignment="1">
      <alignment horizontal="center" vertical="center"/>
    </xf>
    <xf numFmtId="0" fontId="14" fillId="12" borderId="67" xfId="0" applyFont="1" applyFill="1" applyBorder="1" applyAlignment="1">
      <alignment horizontal="left" wrapText="1"/>
    </xf>
    <xf numFmtId="0" fontId="14" fillId="12" borderId="4" xfId="0" applyFont="1" applyFill="1" applyBorder="1" applyAlignment="1">
      <alignment horizontal="left" wrapText="1"/>
    </xf>
    <xf numFmtId="0" fontId="14" fillId="12" borderId="2" xfId="0" applyFont="1" applyFill="1" applyBorder="1" applyAlignment="1">
      <alignment horizontal="left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 wrapText="1"/>
    </xf>
    <xf numFmtId="0" fontId="14" fillId="0" borderId="33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14" fillId="4" borderId="12" xfId="0" applyFont="1" applyFill="1" applyBorder="1" applyAlignment="1">
      <alignment horizontal="left" wrapText="1"/>
    </xf>
    <xf numFmtId="0" fontId="14" fillId="4" borderId="1" xfId="0" applyFont="1" applyFill="1" applyBorder="1" applyAlignment="1">
      <alignment horizontal="left" wrapText="1"/>
    </xf>
    <xf numFmtId="0" fontId="16" fillId="0" borderId="12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left" wrapText="1"/>
    </xf>
    <xf numFmtId="0" fontId="16" fillId="0" borderId="12" xfId="0" applyFont="1" applyFill="1" applyBorder="1" applyAlignment="1">
      <alignment horizontal="left" wrapText="1" indent="1"/>
    </xf>
    <xf numFmtId="0" fontId="16" fillId="0" borderId="1" xfId="0" applyFont="1" applyFill="1" applyBorder="1" applyAlignment="1">
      <alignment horizontal="left" wrapText="1" indent="1"/>
    </xf>
    <xf numFmtId="0" fontId="30" fillId="4" borderId="14" xfId="0" applyFont="1" applyFill="1" applyBorder="1" applyAlignment="1">
      <alignment horizontal="left" wrapText="1"/>
    </xf>
    <xf numFmtId="0" fontId="30" fillId="4" borderId="15" xfId="0" applyFont="1" applyFill="1" applyBorder="1" applyAlignment="1">
      <alignment horizontal="left" wrapText="1"/>
    </xf>
    <xf numFmtId="0" fontId="16" fillId="12" borderId="12" xfId="0" applyFont="1" applyFill="1" applyBorder="1" applyAlignment="1">
      <alignment horizontal="left" wrapText="1"/>
    </xf>
    <xf numFmtId="0" fontId="16" fillId="12" borderId="1" xfId="0" applyFont="1" applyFill="1" applyBorder="1" applyAlignment="1">
      <alignment horizontal="left" wrapText="1"/>
    </xf>
    <xf numFmtId="0" fontId="5" fillId="0" borderId="51" xfId="0" applyFont="1" applyBorder="1" applyAlignment="1">
      <alignment horizontal="left" wrapText="1"/>
    </xf>
    <xf numFmtId="0" fontId="5" fillId="0" borderId="68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3" borderId="36" xfId="0" applyFont="1" applyFill="1" applyBorder="1" applyAlignment="1">
      <alignment horizontal="left"/>
    </xf>
    <xf numFmtId="0" fontId="5" fillId="3" borderId="37" xfId="0" applyFont="1" applyFill="1" applyBorder="1" applyAlignment="1">
      <alignment horizontal="left"/>
    </xf>
    <xf numFmtId="0" fontId="29" fillId="0" borderId="12" xfId="0" applyFont="1" applyFill="1" applyBorder="1" applyAlignment="1">
      <alignment horizontal="left" wrapText="1" indent="1"/>
    </xf>
    <xf numFmtId="0" fontId="29" fillId="0" borderId="1" xfId="0" applyFont="1" applyFill="1" applyBorder="1" applyAlignment="1">
      <alignment horizontal="left" wrapText="1" indent="1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14" fillId="0" borderId="67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5" fillId="0" borderId="12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14" fillId="2" borderId="12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horizontal="left" wrapText="1"/>
    </xf>
    <xf numFmtId="0" fontId="30" fillId="2" borderId="12" xfId="0" applyFont="1" applyFill="1" applyBorder="1" applyAlignment="1">
      <alignment horizontal="left" wrapText="1"/>
    </xf>
    <xf numFmtId="0" fontId="30" fillId="2" borderId="1" xfId="0" applyFont="1" applyFill="1" applyBorder="1" applyAlignment="1">
      <alignment horizontal="left" wrapText="1"/>
    </xf>
    <xf numFmtId="0" fontId="30" fillId="4" borderId="33" xfId="0" applyFont="1" applyFill="1" applyBorder="1" applyAlignment="1">
      <alignment horizontal="left" wrapText="1"/>
    </xf>
    <xf numFmtId="0" fontId="30" fillId="4" borderId="5" xfId="0" applyFont="1" applyFill="1" applyBorder="1" applyAlignment="1">
      <alignment horizontal="left" wrapText="1"/>
    </xf>
    <xf numFmtId="0" fontId="30" fillId="0" borderId="12" xfId="0" applyFont="1" applyFill="1" applyBorder="1" applyAlignment="1">
      <alignment horizontal="left" wrapText="1"/>
    </xf>
    <xf numFmtId="0" fontId="30" fillId="0" borderId="1" xfId="0" applyFont="1" applyFill="1" applyBorder="1" applyAlignment="1">
      <alignment horizontal="left" wrapText="1"/>
    </xf>
    <xf numFmtId="0" fontId="16" fillId="12" borderId="67" xfId="0" applyFont="1" applyFill="1" applyBorder="1" applyAlignment="1">
      <alignment horizontal="left" wrapText="1"/>
    </xf>
    <xf numFmtId="0" fontId="16" fillId="12" borderId="4" xfId="0" applyFont="1" applyFill="1" applyBorder="1" applyAlignment="1">
      <alignment horizontal="left" wrapText="1"/>
    </xf>
    <xf numFmtId="0" fontId="16" fillId="12" borderId="2" xfId="0" applyFont="1" applyFill="1" applyBorder="1" applyAlignment="1">
      <alignment horizontal="left" wrapText="1"/>
    </xf>
    <xf numFmtId="0" fontId="30" fillId="2" borderId="14" xfId="0" applyFont="1" applyFill="1" applyBorder="1" applyAlignment="1">
      <alignment horizontal="left" wrapText="1"/>
    </xf>
    <xf numFmtId="0" fontId="30" fillId="2" borderId="15" xfId="0" applyFont="1" applyFill="1" applyBorder="1" applyAlignment="1">
      <alignment horizontal="left" wrapText="1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16" fillId="12" borderId="12" xfId="0" applyFont="1" applyFill="1" applyBorder="1" applyAlignment="1">
      <alignment horizontal="left" wrapText="1" indent="4"/>
    </xf>
    <xf numFmtId="0" fontId="16" fillId="12" borderId="1" xfId="0" applyFont="1" applyFill="1" applyBorder="1" applyAlignment="1">
      <alignment horizontal="left" wrapText="1" indent="4"/>
    </xf>
    <xf numFmtId="0" fontId="16" fillId="2" borderId="12" xfId="0" applyFont="1" applyFill="1" applyBorder="1" applyAlignment="1">
      <alignment horizontal="left" wrapText="1" indent="4"/>
    </xf>
    <xf numFmtId="0" fontId="16" fillId="2" borderId="1" xfId="0" applyFont="1" applyFill="1" applyBorder="1" applyAlignment="1">
      <alignment horizontal="left" wrapText="1" indent="4"/>
    </xf>
    <xf numFmtId="0" fontId="5" fillId="3" borderId="7" xfId="0" applyFont="1" applyFill="1" applyBorder="1" applyAlignment="1" applyProtection="1">
      <alignment horizontal="left"/>
      <protection locked="0"/>
    </xf>
    <xf numFmtId="0" fontId="5" fillId="3" borderId="8" xfId="0" applyFont="1" applyFill="1" applyBorder="1" applyAlignment="1" applyProtection="1">
      <alignment horizontal="left"/>
      <protection locked="0"/>
    </xf>
    <xf numFmtId="4" fontId="2" fillId="2" borderId="3" xfId="1" applyNumberFormat="1" applyFont="1" applyFill="1" applyBorder="1" applyAlignment="1" applyProtection="1">
      <alignment horizontal="left" vertical="center" wrapText="1"/>
    </xf>
    <xf numFmtId="4" fontId="2" fillId="2" borderId="4" xfId="1" applyNumberFormat="1" applyFont="1" applyFill="1" applyBorder="1" applyAlignment="1" applyProtection="1">
      <alignment horizontal="left" vertical="center" wrapText="1"/>
    </xf>
    <xf numFmtId="4" fontId="2" fillId="2" borderId="2" xfId="1" applyNumberFormat="1" applyFont="1" applyFill="1" applyBorder="1" applyAlignment="1" applyProtection="1">
      <alignment horizontal="left" vertical="center" wrapText="1"/>
    </xf>
    <xf numFmtId="0" fontId="77" fillId="0" borderId="74" xfId="0" applyFont="1" applyBorder="1" applyAlignment="1">
      <alignment horizontal="center" vertical="center" wrapText="1"/>
    </xf>
    <xf numFmtId="0" fontId="77" fillId="0" borderId="41" xfId="0" applyFont="1" applyBorder="1" applyAlignment="1">
      <alignment horizontal="center" vertical="center"/>
    </xf>
    <xf numFmtId="0" fontId="77" fillId="0" borderId="42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2" fillId="0" borderId="11" xfId="1" applyFont="1" applyFill="1" applyBorder="1" applyAlignment="1" applyProtection="1">
      <alignment horizontal="center" vertical="center" wrapText="1"/>
    </xf>
    <xf numFmtId="0" fontId="2" fillId="0" borderId="21" xfId="1" applyFont="1" applyFill="1" applyBorder="1" applyAlignment="1" applyProtection="1">
      <alignment horizontal="center" vertical="center" wrapText="1"/>
    </xf>
    <xf numFmtId="0" fontId="8" fillId="0" borderId="26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8" fillId="0" borderId="34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6" fillId="12" borderId="15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44" xfId="0" applyFont="1" applyFill="1" applyBorder="1" applyAlignment="1" applyProtection="1">
      <alignment horizontal="center" vertical="center" wrapText="1"/>
    </xf>
    <xf numFmtId="0" fontId="8" fillId="0" borderId="18" xfId="0" applyFont="1" applyFill="1" applyBorder="1" applyAlignment="1" applyProtection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left" wrapText="1" indent="2"/>
    </xf>
    <xf numFmtId="0" fontId="14" fillId="2" borderId="1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wrapText="1"/>
    </xf>
    <xf numFmtId="0" fontId="14" fillId="0" borderId="6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left" vertical="center" wrapText="1"/>
    </xf>
    <xf numFmtId="166" fontId="16" fillId="0" borderId="0" xfId="0" applyNumberFormat="1" applyFont="1" applyFill="1" applyBorder="1" applyAlignment="1" applyProtection="1">
      <alignment horizontal="right"/>
    </xf>
    <xf numFmtId="0" fontId="14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166" fontId="14" fillId="0" borderId="19" xfId="0" applyNumberFormat="1" applyFont="1" applyFill="1" applyBorder="1" applyAlignment="1" applyProtection="1">
      <alignment horizontal="center" vertical="center"/>
      <protection locked="0"/>
    </xf>
    <xf numFmtId="166" fontId="14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19" borderId="11" xfId="0" applyFont="1" applyFill="1" applyBorder="1" applyAlignment="1">
      <alignment horizontal="center" vertical="center" wrapText="1"/>
    </xf>
    <xf numFmtId="0" fontId="3" fillId="19" borderId="2" xfId="0" applyFont="1" applyFill="1" applyBorder="1" applyAlignment="1">
      <alignment horizontal="center" vertical="center" wrapText="1"/>
    </xf>
    <xf numFmtId="0" fontId="3" fillId="19" borderId="73" xfId="0" applyFont="1" applyFill="1" applyBorder="1" applyAlignment="1">
      <alignment horizontal="center" vertical="center" wrapText="1"/>
    </xf>
    <xf numFmtId="0" fontId="3" fillId="19" borderId="65" xfId="0" applyFont="1" applyFill="1" applyBorder="1" applyAlignment="1">
      <alignment horizontal="center" vertical="center" wrapText="1"/>
    </xf>
    <xf numFmtId="0" fontId="3" fillId="19" borderId="20" xfId="0" applyFont="1" applyFill="1" applyBorder="1" applyAlignment="1">
      <alignment horizontal="center" vertical="center" wrapText="1"/>
    </xf>
    <xf numFmtId="0" fontId="3" fillId="19" borderId="1" xfId="0" applyFont="1" applyFill="1" applyBorder="1" applyAlignment="1">
      <alignment horizontal="center" vertical="center" wrapText="1"/>
    </xf>
    <xf numFmtId="166" fontId="14" fillId="0" borderId="20" xfId="0" applyNumberFormat="1" applyFont="1" applyFill="1" applyBorder="1" applyAlignment="1" applyProtection="1">
      <alignment horizontal="center" vertical="center"/>
      <protection locked="0"/>
    </xf>
    <xf numFmtId="166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6" fillId="12" borderId="1" xfId="0" applyFont="1" applyFill="1" applyBorder="1" applyAlignment="1">
      <alignment horizontal="left" vertical="center" wrapText="1"/>
    </xf>
    <xf numFmtId="0" fontId="9" fillId="2" borderId="60" xfId="1" applyFont="1" applyFill="1" applyBorder="1" applyAlignment="1">
      <alignment horizontal="left" vertical="center" wrapText="1"/>
    </xf>
    <xf numFmtId="0" fontId="9" fillId="2" borderId="41" xfId="1" applyFont="1" applyFill="1" applyBorder="1" applyAlignment="1">
      <alignment horizontal="left" vertical="center" wrapText="1"/>
    </xf>
    <xf numFmtId="0" fontId="9" fillId="2" borderId="61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 applyProtection="1">
      <alignment horizontal="left" vertical="center" wrapText="1"/>
      <protection locked="0"/>
    </xf>
    <xf numFmtId="0" fontId="14" fillId="0" borderId="12" xfId="0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>
      <alignment horizontal="left" vertical="center"/>
    </xf>
    <xf numFmtId="0" fontId="14" fillId="2" borderId="0" xfId="0" applyFont="1" applyFill="1" applyAlignment="1">
      <alignment horizontal="right" vertical="center" wrapText="1"/>
    </xf>
    <xf numFmtId="0" fontId="14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center"/>
    </xf>
    <xf numFmtId="49" fontId="17" fillId="2" borderId="19" xfId="1" applyNumberFormat="1" applyFont="1" applyFill="1" applyBorder="1" applyAlignment="1">
      <alignment horizontal="center" vertical="center" wrapText="1"/>
    </xf>
    <xf numFmtId="49" fontId="17" fillId="2" borderId="12" xfId="1" applyNumberFormat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7" fillId="2" borderId="21" xfId="1" applyFont="1" applyFill="1" applyBorder="1" applyAlignment="1">
      <alignment horizontal="center" vertical="center" wrapText="1"/>
    </xf>
    <xf numFmtId="0" fontId="17" fillId="2" borderId="13" xfId="1" applyFont="1" applyFill="1" applyBorder="1" applyAlignment="1">
      <alignment horizontal="center" vertical="center" wrapText="1"/>
    </xf>
    <xf numFmtId="0" fontId="17" fillId="2" borderId="20" xfId="1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/>
    </xf>
  </cellXfs>
  <cellStyles count="8">
    <cellStyle name="Normal" xfId="6" xr:uid="{00000000-0005-0000-0000-000000000000}"/>
    <cellStyle name="Normal 2" xfId="2" xr:uid="{00000000-0005-0000-0000-000001000000}"/>
    <cellStyle name="Normal 3" xfId="4" xr:uid="{00000000-0005-0000-0000-000002000000}"/>
    <cellStyle name="Normal 5" xfId="5" xr:uid="{00000000-0005-0000-0000-000003000000}"/>
    <cellStyle name="Гиперссылка" xfId="7" builtinId="8"/>
    <cellStyle name="Обычный" xfId="0" builtinId="0"/>
    <cellStyle name="Обычный 2" xfId="1" xr:uid="{00000000-0005-0000-0000-000006000000}"/>
    <cellStyle name="Обычный 3" xfId="3" xr:uid="{00000000-0005-0000-0000-000007000000}"/>
  </cellStyles>
  <dxfs count="19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5" tint="0.59996337778862885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zakon.rada.gov.ua/laws/show/z1442-05" TargetMode="External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Аркуш1">
    <pageSetUpPr fitToPage="1"/>
  </sheetPr>
  <dimension ref="A1:T107"/>
  <sheetViews>
    <sheetView topLeftCell="B60" zoomScale="70" zoomScaleNormal="70" workbookViewId="0">
      <selection activeCell="E111" sqref="E111"/>
    </sheetView>
  </sheetViews>
  <sheetFormatPr defaultRowHeight="23.25" customHeight="1" x14ac:dyDescent="0.25"/>
  <cols>
    <col min="1" max="1" width="0" hidden="1" customWidth="1"/>
    <col min="2" max="2" width="10" style="10" customWidth="1"/>
    <col min="3" max="3" width="80.5703125" style="202" customWidth="1"/>
    <col min="4" max="4" width="20.85546875" style="201" customWidth="1"/>
    <col min="5" max="5" width="17.5703125" style="202" customWidth="1"/>
    <col min="6" max="6" width="26.42578125" style="36" customWidth="1"/>
    <col min="7" max="7" width="31.5703125" style="10" customWidth="1"/>
    <col min="8" max="9" width="37.42578125" style="10" customWidth="1"/>
    <col min="10" max="10" width="38.5703125" style="10" customWidth="1"/>
    <col min="11" max="11" width="37.42578125" style="10" customWidth="1"/>
    <col min="12" max="12" width="33" style="10" customWidth="1"/>
    <col min="13" max="13" width="31.42578125" style="10" customWidth="1"/>
    <col min="14" max="15" width="27.5703125" style="10" customWidth="1"/>
    <col min="16" max="16" width="34.42578125" customWidth="1"/>
    <col min="17" max="17" width="23.5703125" customWidth="1"/>
    <col min="18" max="18" width="21" customWidth="1"/>
    <col min="19" max="19" width="26.5703125" customWidth="1"/>
    <col min="20" max="20" width="26.42578125" customWidth="1"/>
  </cols>
  <sheetData>
    <row r="1" spans="1:18" ht="23.25" customHeight="1" x14ac:dyDescent="0.3">
      <c r="C1" s="183" t="str">
        <f>'Звіт 1,2,3'!B1</f>
        <v>Ідентифікаційний код ЄДРПОУ</v>
      </c>
      <c r="D1" s="184">
        <f>'Звіт 1,2,3'!D1</f>
        <v>37650571</v>
      </c>
      <c r="E1" s="185" t="str">
        <f>'Звіт 1,2,3'!F1</f>
        <v>код КОПФГ</v>
      </c>
      <c r="F1" s="207">
        <f>'Звіт 1,2,3'!H1</f>
        <v>150</v>
      </c>
      <c r="G1" s="1072" t="str">
        <f>'Звіт 1,2,3'!H7</f>
        <v>Комунальне некомерційне підприємство "Лубенський районний центр первинної медико-санітарної допомоги" Лубенської районної ради Полтавської області</v>
      </c>
      <c r="H1" s="1073"/>
      <c r="I1" s="1073"/>
      <c r="J1" s="1073"/>
      <c r="K1" s="1073"/>
      <c r="L1" s="1073"/>
    </row>
    <row r="2" spans="1:18" s="187" customFormat="1" ht="24" customHeight="1" x14ac:dyDescent="0.3">
      <c r="A2" s="186"/>
      <c r="B2" s="239"/>
      <c r="C2" s="1074" t="s">
        <v>410</v>
      </c>
      <c r="D2" s="1074"/>
      <c r="E2" s="1074"/>
      <c r="F2" s="1074"/>
      <c r="G2" s="1074"/>
      <c r="H2" s="1074"/>
      <c r="I2" s="367"/>
      <c r="J2" s="29"/>
      <c r="K2" s="29"/>
      <c r="L2" s="29"/>
      <c r="M2" s="29"/>
      <c r="N2" s="29"/>
      <c r="O2" s="29"/>
    </row>
    <row r="3" spans="1:18" s="187" customFormat="1" ht="20.100000000000001" customHeight="1" thickBot="1" x14ac:dyDescent="0.3">
      <c r="B3" s="29"/>
      <c r="C3" s="1075" t="str">
        <f>'Звіт 1,2,3'!A3</f>
        <v>ЗВІТ ПРО ДОХОДИ ТА ВИТРАТИ за 1 півріччя 2020 року</v>
      </c>
      <c r="D3" s="1075"/>
      <c r="E3" s="1075"/>
      <c r="F3" s="1075"/>
      <c r="G3" s="1075"/>
      <c r="H3" s="1075"/>
      <c r="I3" s="29"/>
      <c r="J3" s="29"/>
      <c r="K3" s="29"/>
      <c r="L3" s="29"/>
      <c r="M3" s="29"/>
      <c r="N3" s="29"/>
      <c r="O3" s="29"/>
    </row>
    <row r="4" spans="1:18" ht="46.35" customHeight="1" thickBot="1" x14ac:dyDescent="0.35">
      <c r="A4" s="188" t="s">
        <v>411</v>
      </c>
      <c r="B4" s="208" t="s">
        <v>506</v>
      </c>
      <c r="C4" s="209" t="s">
        <v>412</v>
      </c>
      <c r="D4" s="370" t="s">
        <v>413</v>
      </c>
      <c r="E4" s="210" t="s">
        <v>414</v>
      </c>
      <c r="F4" s="746" t="s">
        <v>415</v>
      </c>
      <c r="G4" s="1078" t="s">
        <v>416</v>
      </c>
      <c r="H4" s="1079"/>
      <c r="I4" s="1079"/>
      <c r="J4" s="1079"/>
      <c r="K4" s="1079"/>
      <c r="L4" s="1079"/>
      <c r="M4" s="1079"/>
    </row>
    <row r="5" spans="1:18" ht="46.35" customHeight="1" thickBot="1" x14ac:dyDescent="0.35">
      <c r="A5" s="188"/>
      <c r="B5" s="213"/>
      <c r="C5" s="195" t="s">
        <v>573</v>
      </c>
      <c r="D5" s="214" t="s">
        <v>417</v>
      </c>
      <c r="E5" s="195"/>
      <c r="F5" s="322" t="b">
        <f>IF('Звіт   4,5,6'!E36=0,"Дані не введено",IF(D1=0,FALSE,TRUE))</f>
        <v>1</v>
      </c>
      <c r="G5" s="215"/>
      <c r="H5" s="215"/>
      <c r="I5" s="215"/>
      <c r="J5" s="215"/>
      <c r="K5" s="215"/>
      <c r="L5" s="215"/>
    </row>
    <row r="6" spans="1:18" ht="27.6" customHeight="1" x14ac:dyDescent="0.3">
      <c r="A6" s="189"/>
      <c r="B6" s="1076" t="s">
        <v>507</v>
      </c>
      <c r="C6" s="1077" t="s">
        <v>449</v>
      </c>
      <c r="D6" s="1056" t="s">
        <v>417</v>
      </c>
      <c r="E6" s="1046" t="s">
        <v>418</v>
      </c>
      <c r="F6" s="1058" t="b">
        <f>IF('Звіт   4,5,6'!E36=0,"Дані не введено",IF(AND(I7=J7,G7=H7),TRUE))</f>
        <v>1</v>
      </c>
      <c r="G6" s="725" t="s">
        <v>419</v>
      </c>
      <c r="H6" s="725" t="s">
        <v>420</v>
      </c>
      <c r="I6" s="725" t="s">
        <v>421</v>
      </c>
      <c r="J6" s="726" t="s">
        <v>422</v>
      </c>
    </row>
    <row r="7" spans="1:18" ht="29.1" customHeight="1" thickBot="1" x14ac:dyDescent="0.35">
      <c r="A7" s="189">
        <v>1</v>
      </c>
      <c r="B7" s="1053"/>
      <c r="C7" s="1040"/>
      <c r="D7" s="978"/>
      <c r="E7" s="980"/>
      <c r="F7" s="991"/>
      <c r="G7" s="706">
        <f>ROUND('Звіт   9'!G42,0)</f>
        <v>6764</v>
      </c>
      <c r="H7" s="706">
        <f>ROUND('Звіт   9'!G83,0)</f>
        <v>6764</v>
      </c>
      <c r="I7" s="706">
        <f>ROUND('Звіт   9'!J42,0)</f>
        <v>6605</v>
      </c>
      <c r="J7" s="707">
        <f>ROUND('Звіт   9'!J83,0)</f>
        <v>6605</v>
      </c>
    </row>
    <row r="8" spans="1:18" ht="41.1" customHeight="1" thickBot="1" x14ac:dyDescent="0.35">
      <c r="A8" s="189"/>
      <c r="B8" s="357" t="s">
        <v>543</v>
      </c>
      <c r="C8" s="358" t="s">
        <v>500</v>
      </c>
      <c r="D8" s="368" t="s">
        <v>417</v>
      </c>
      <c r="E8" s="379" t="s">
        <v>418</v>
      </c>
      <c r="F8" s="359" t="b">
        <f>IF('Звіт   4,5,6'!E36=0,"Дані не введено",IF(('Звіт   9'!J42+'Звіт   9'!J83)&gt;0,TRUE,"Увага, баланс не дороблено"))</f>
        <v>1</v>
      </c>
      <c r="G8" s="340"/>
      <c r="H8" s="340"/>
      <c r="I8" s="340"/>
      <c r="J8" s="340"/>
    </row>
    <row r="9" spans="1:18" ht="73.349999999999994" customHeight="1" thickBot="1" x14ac:dyDescent="0.35">
      <c r="A9" s="189"/>
      <c r="B9" s="961" t="s">
        <v>508</v>
      </c>
      <c r="C9" s="963" t="s">
        <v>446</v>
      </c>
      <c r="D9" s="977" t="s">
        <v>417</v>
      </c>
      <c r="E9" s="979" t="s">
        <v>418</v>
      </c>
      <c r="F9" s="990" t="b">
        <f>IF('Звіт   4,5,6'!E36=0,"Дані не введено",IF(AND(L10&lt;=1,L10&gt;=0,M10=TRUE),TRUE,FALSE))</f>
        <v>1</v>
      </c>
      <c r="G9" s="723" t="s">
        <v>784</v>
      </c>
      <c r="H9" s="723" t="s">
        <v>776</v>
      </c>
      <c r="I9" s="723" t="s">
        <v>777</v>
      </c>
      <c r="J9" s="723" t="s">
        <v>778</v>
      </c>
      <c r="K9" s="723" t="s">
        <v>779</v>
      </c>
      <c r="L9" s="724" t="s">
        <v>423</v>
      </c>
      <c r="M9" s="717" t="s">
        <v>783</v>
      </c>
    </row>
    <row r="10" spans="1:18" ht="31.7" customHeight="1" thickBot="1" x14ac:dyDescent="0.35">
      <c r="A10" s="189">
        <v>2</v>
      </c>
      <c r="B10" s="971"/>
      <c r="C10" s="972"/>
      <c r="D10" s="978"/>
      <c r="E10" s="980"/>
      <c r="F10" s="991"/>
      <c r="G10" s="747">
        <f>ROUND('Звіт   9'!G26,1)</f>
        <v>257.7</v>
      </c>
      <c r="H10" s="747">
        <f>ROUND('Звіт 1,2,3'!G28/1000,1)</f>
        <v>316</v>
      </c>
      <c r="I10" s="261">
        <f>ROUND(('Звіт   4,5,6'!E40+'Звіт   4,5,6'!E46+'Звіт   4,5,6'!E47+'Звіт   4,5,6'!E48+'Звіт   4,5,6'!E49+'Звіт   4,5,6'!E51+'Звіт   4,5,6'!E52+'Звіт   4,5,6'!E53+'Звіт   4,5,6'!E61)/1000,1)</f>
        <v>212</v>
      </c>
      <c r="J10" s="706">
        <f>ROUND((G10+H10-I10),1)</f>
        <v>361.7</v>
      </c>
      <c r="K10" s="706">
        <f>ROUND('Звіт   9'!J26,1)</f>
        <v>361.7</v>
      </c>
      <c r="L10" s="692">
        <f>K10-J10</f>
        <v>0</v>
      </c>
      <c r="M10" s="322" t="b">
        <f>'Звіт 10, 11,12,13,14'!Z19</f>
        <v>1</v>
      </c>
      <c r="P10" s="187"/>
    </row>
    <row r="11" spans="1:18" ht="42.6" customHeight="1" x14ac:dyDescent="0.3">
      <c r="A11" s="189"/>
      <c r="B11" s="961" t="s">
        <v>509</v>
      </c>
      <c r="C11" s="986" t="s">
        <v>505</v>
      </c>
      <c r="D11" s="977" t="s">
        <v>417</v>
      </c>
      <c r="E11" s="988" t="s">
        <v>426</v>
      </c>
      <c r="F11" s="990" t="b">
        <f>IF('Звіт   4,5,6'!E36=0,"Дані не введено",IF(AND((J12-M12)&lt;=1,(J12-M12)&gt;=-1),TRUE, "FALSE"))</f>
        <v>1</v>
      </c>
      <c r="G11" s="697" t="s">
        <v>786</v>
      </c>
      <c r="H11" s="697" t="s">
        <v>787</v>
      </c>
      <c r="I11" s="727" t="str">
        <f>K14</f>
        <v>Дт 411 (комірка J32 таблиці 13)</v>
      </c>
      <c r="J11" s="728" t="s">
        <v>423</v>
      </c>
      <c r="K11" s="723" t="s">
        <v>788</v>
      </c>
      <c r="L11" s="697" t="s">
        <v>789</v>
      </c>
      <c r="M11" s="724" t="s">
        <v>423</v>
      </c>
      <c r="N11" s="245"/>
      <c r="O11" s="245"/>
      <c r="P11" s="187"/>
      <c r="Q11" s="187"/>
      <c r="R11" s="187"/>
    </row>
    <row r="12" spans="1:18" ht="29.45" customHeight="1" thickBot="1" x14ac:dyDescent="0.35">
      <c r="A12" s="189">
        <v>10</v>
      </c>
      <c r="B12" s="971"/>
      <c r="C12" s="987"/>
      <c r="D12" s="978"/>
      <c r="E12" s="989"/>
      <c r="F12" s="991"/>
      <c r="G12" s="706">
        <f>ROUND(('Звіт   9'!G50),1)</f>
        <v>441.3</v>
      </c>
      <c r="H12" s="706">
        <f>ROUND('Звіт   9'!J50,1)</f>
        <v>446.7</v>
      </c>
      <c r="I12" s="743">
        <f>ROUND('Звіт 10, 11,12,13,14'!J31/1000,1)</f>
        <v>0</v>
      </c>
      <c r="J12" s="744">
        <f>ROUND((H12-G12-I12),1)</f>
        <v>5.4</v>
      </c>
      <c r="K12" s="706">
        <f>ROUND(('Звіт   4,5,6'!H7/1000),1)</f>
        <v>4615.2</v>
      </c>
      <c r="L12" s="706">
        <f>ROUND('Звіт   4,5,6'!G91/1000,1)</f>
        <v>4609.8</v>
      </c>
      <c r="M12" s="745">
        <f>ROUND((K12-L12),1)</f>
        <v>5.4</v>
      </c>
      <c r="N12" s="240"/>
      <c r="O12" s="240"/>
      <c r="P12" s="211"/>
      <c r="Q12" s="187"/>
      <c r="R12" s="187"/>
    </row>
    <row r="13" spans="1:18" s="193" customFormat="1" ht="47.45" customHeight="1" thickBot="1" x14ac:dyDescent="0.35">
      <c r="A13" s="192"/>
      <c r="B13" s="763"/>
      <c r="C13" s="401"/>
      <c r="D13" s="617"/>
      <c r="E13" s="283"/>
      <c r="F13" s="205"/>
      <c r="G13" s="1069" t="s">
        <v>759</v>
      </c>
      <c r="H13" s="1070"/>
      <c r="I13" s="1070"/>
      <c r="J13" s="1071"/>
      <c r="K13" s="752"/>
      <c r="L13" s="761" t="s">
        <v>808</v>
      </c>
      <c r="M13" s="752"/>
      <c r="N13" s="240"/>
      <c r="O13" s="240"/>
      <c r="P13" s="211"/>
      <c r="Q13" s="211"/>
      <c r="R13" s="211"/>
    </row>
    <row r="14" spans="1:18" ht="55.35" customHeight="1" x14ac:dyDescent="0.3">
      <c r="A14" s="189"/>
      <c r="B14" s="1065" t="s">
        <v>544</v>
      </c>
      <c r="C14" s="1059" t="s">
        <v>619</v>
      </c>
      <c r="D14" s="1014" t="s">
        <v>417</v>
      </c>
      <c r="E14" s="1014" t="s">
        <v>418</v>
      </c>
      <c r="F14" s="1067" t="b">
        <f>IF('Звіт   4,5,6'!E36=0,"Дані не введено",IF(AND(G15&gt;0,K15&lt;=0),FALSE,IF(G16=FALSE,FALSE,TRUE)))</f>
        <v>1</v>
      </c>
      <c r="G14" s="753" t="s">
        <v>790</v>
      </c>
      <c r="H14" s="723" t="s">
        <v>785</v>
      </c>
      <c r="I14" s="723" t="s">
        <v>806</v>
      </c>
      <c r="J14" s="764" t="s">
        <v>807</v>
      </c>
      <c r="K14" s="759" t="s">
        <v>733</v>
      </c>
      <c r="L14" s="762" t="s">
        <v>767</v>
      </c>
      <c r="M14" s="319"/>
      <c r="N14" s="355"/>
      <c r="O14" s="355"/>
      <c r="P14" s="315"/>
    </row>
    <row r="15" spans="1:18" ht="33.6" customHeight="1" thickBot="1" x14ac:dyDescent="0.35">
      <c r="A15" s="189"/>
      <c r="B15" s="1066"/>
      <c r="C15" s="1060"/>
      <c r="D15" s="1015"/>
      <c r="E15" s="1015"/>
      <c r="F15" s="1068"/>
      <c r="G15" s="754">
        <f>ROUND('Звіт   9'!G47,1)</f>
        <v>0</v>
      </c>
      <c r="H15" s="731">
        <f>ROUND('Звіт   9'!J47,1)</f>
        <v>0</v>
      </c>
      <c r="I15" s="731">
        <f>ROUND('Звіт 10, 11,12,13,14'!F25/1000,1)</f>
        <v>0</v>
      </c>
      <c r="J15" s="765">
        <f>ROUND('Звіт 10, 11,12,13,14'!I25/1000,1)</f>
        <v>0</v>
      </c>
      <c r="K15" s="760">
        <f>ROUND('Звіт 10, 11,12,13,14'!J31/1000,1)</f>
        <v>0</v>
      </c>
      <c r="L15" s="766">
        <f>'Звіт 10, 11,12,13,14'!J37+'Звіт 10, 11,12,13,14'!N37</f>
        <v>0</v>
      </c>
      <c r="M15" s="319"/>
      <c r="N15" s="319"/>
      <c r="O15" s="319"/>
      <c r="P15" s="315"/>
    </row>
    <row r="16" spans="1:18" ht="48" customHeight="1" thickBot="1" x14ac:dyDescent="0.35">
      <c r="A16" s="189"/>
      <c r="B16" s="375" t="s">
        <v>545</v>
      </c>
      <c r="C16" s="374" t="s">
        <v>499</v>
      </c>
      <c r="D16" s="369" t="s">
        <v>417</v>
      </c>
      <c r="E16" s="380" t="s">
        <v>418</v>
      </c>
      <c r="F16" s="341" t="b">
        <f>IF('Звіт   4,5,6'!E36=0,"Дані не введено",IF('Звіт   9'!G50&gt;(-300),TRUE,FALSE))</f>
        <v>1</v>
      </c>
      <c r="G16" s="767" t="b">
        <f>IF(AND(G15=I15,H15=J15,L15=0),TRUE,FALSE)</f>
        <v>1</v>
      </c>
      <c r="H16" s="318"/>
      <c r="I16" s="317"/>
      <c r="J16" s="240"/>
      <c r="K16" s="240"/>
      <c r="L16" s="240"/>
      <c r="M16" s="240"/>
      <c r="N16" s="240"/>
      <c r="O16" s="240"/>
      <c r="P16" s="211"/>
      <c r="Q16" s="187"/>
      <c r="R16" s="187"/>
    </row>
    <row r="17" spans="1:18" ht="39" customHeight="1" thickBot="1" x14ac:dyDescent="0.35">
      <c r="A17" s="189"/>
      <c r="B17" s="357"/>
      <c r="C17" s="755" t="s">
        <v>551</v>
      </c>
      <c r="D17" s="1061" t="s">
        <v>451</v>
      </c>
      <c r="E17" s="1062"/>
      <c r="F17" s="756">
        <v>0</v>
      </c>
      <c r="H17" s="757"/>
      <c r="I17" s="758"/>
      <c r="J17" s="240"/>
      <c r="K17" s="240"/>
      <c r="L17" s="240"/>
      <c r="M17" s="241"/>
      <c r="N17" s="241"/>
      <c r="O17" s="241"/>
      <c r="P17" s="211"/>
      <c r="Q17" s="187"/>
      <c r="R17" s="187"/>
    </row>
    <row r="18" spans="1:18" ht="92.45" customHeight="1" thickBot="1" x14ac:dyDescent="0.35">
      <c r="A18" s="189"/>
      <c r="B18" s="961" t="s">
        <v>510</v>
      </c>
      <c r="C18" s="1059" t="s">
        <v>550</v>
      </c>
      <c r="D18" s="977" t="str">
        <f>IF(I17=1,"Достатня","Необхідна")</f>
        <v>Необхідна</v>
      </c>
      <c r="E18" s="1063" t="s">
        <v>426</v>
      </c>
      <c r="F18" s="990" t="b">
        <f>IF('Звіт   4,5,6'!E36=0,"Дані не введено",IF(AND(L19&gt;1,L19&lt;-1,F17=0),FALSE,IF(F17=1,"Увага",IF(AND(L19&lt;=1,L19&gt;=-1,M19=TRUE),TRUE,FALSE))))</f>
        <v>1</v>
      </c>
      <c r="G18" s="723" t="s">
        <v>771</v>
      </c>
      <c r="H18" s="723" t="s">
        <v>772</v>
      </c>
      <c r="I18" s="785" t="s">
        <v>773</v>
      </c>
      <c r="J18" s="623" t="s">
        <v>834</v>
      </c>
      <c r="K18" s="723" t="s">
        <v>770</v>
      </c>
      <c r="L18" s="696" t="s">
        <v>423</v>
      </c>
      <c r="M18" s="786" t="s">
        <v>782</v>
      </c>
      <c r="N18" s="241"/>
      <c r="O18" s="241"/>
      <c r="P18" s="211"/>
      <c r="Q18" s="187"/>
      <c r="R18" s="187"/>
    </row>
    <row r="19" spans="1:18" ht="31.35" customHeight="1" thickBot="1" x14ac:dyDescent="0.35">
      <c r="A19" s="189">
        <v>12</v>
      </c>
      <c r="B19" s="971"/>
      <c r="C19" s="1060"/>
      <c r="D19" s="978"/>
      <c r="E19" s="1064"/>
      <c r="F19" s="991"/>
      <c r="G19" s="732">
        <f>'Звіт   9'!G12</f>
        <v>0</v>
      </c>
      <c r="H19" s="732">
        <f>'Звіт 1,2,3'!G65/1000</f>
        <v>0</v>
      </c>
      <c r="I19" s="733">
        <f>'Звіт   9'!J10-'Звіт   9'!G10+'Звіт   9'!J14-'Звіт   9'!G14</f>
        <v>0</v>
      </c>
      <c r="J19" s="732">
        <f>ROUND((G19+H19-I19),1)</f>
        <v>0</v>
      </c>
      <c r="K19" s="732">
        <f>ROUND('Звіт   9'!J12,1)</f>
        <v>0</v>
      </c>
      <c r="L19" s="734">
        <f>J19-K19</f>
        <v>0</v>
      </c>
      <c r="M19" s="322" t="b">
        <f>'Звіт 10, 11,12,13,14'!Z14</f>
        <v>1</v>
      </c>
    </row>
    <row r="20" spans="1:18" ht="63" customHeight="1" x14ac:dyDescent="0.3">
      <c r="A20" s="189"/>
      <c r="B20" s="1052" t="s">
        <v>511</v>
      </c>
      <c r="C20" s="1054" t="s">
        <v>447</v>
      </c>
      <c r="D20" s="1056" t="s">
        <v>450</v>
      </c>
      <c r="E20" s="1057" t="s">
        <v>426</v>
      </c>
      <c r="F20" s="1058" t="b">
        <f>IF('Звіт   4,5,6'!E36=0,"Дані не введено",IF(AND(K21&gt;1,K21&lt;-1,F17=0),FALSE,IF(F17=1,"Увага",IF(AND(K21&lt;=1,K21&gt;=-1),TRUE,FALSE))))</f>
        <v>1</v>
      </c>
      <c r="G20" s="787" t="s">
        <v>794</v>
      </c>
      <c r="H20" s="787" t="s">
        <v>795</v>
      </c>
      <c r="I20" s="787" t="s">
        <v>855</v>
      </c>
      <c r="J20" s="787" t="s">
        <v>793</v>
      </c>
      <c r="K20" s="788" t="s">
        <v>423</v>
      </c>
      <c r="L20" s="29"/>
    </row>
    <row r="21" spans="1:18" ht="27" customHeight="1" thickBot="1" x14ac:dyDescent="0.35">
      <c r="A21" s="189">
        <v>13</v>
      </c>
      <c r="B21" s="1053"/>
      <c r="C21" s="1055"/>
      <c r="D21" s="1024"/>
      <c r="E21" s="1030"/>
      <c r="F21" s="1018"/>
      <c r="G21" s="735">
        <f>ROUND(('Звіт   9'!J11+'Звіт   9'!J15),1)</f>
        <v>-6476.4</v>
      </c>
      <c r="H21" s="735">
        <f>ROUND(('Звіт   9'!G11+'Звіт   9'!G15),1)</f>
        <v>-6158.5</v>
      </c>
      <c r="I21" s="735">
        <f>ROUND((G21-H21),1)</f>
        <v>-317.89999999999998</v>
      </c>
      <c r="J21" s="736">
        <f>ROUND('Звіт   4,5,6'!E83/1000,1)</f>
        <v>317.8</v>
      </c>
      <c r="K21" s="737">
        <f>J21+I21</f>
        <v>-9.9999999999965894E-2</v>
      </c>
      <c r="L21" s="29"/>
    </row>
    <row r="22" spans="1:18" ht="66" customHeight="1" x14ac:dyDescent="0.3">
      <c r="A22" s="189"/>
      <c r="B22" s="961" t="s">
        <v>512</v>
      </c>
      <c r="C22" s="1059" t="s">
        <v>427</v>
      </c>
      <c r="D22" s="977" t="s">
        <v>417</v>
      </c>
      <c r="E22" s="979" t="s">
        <v>424</v>
      </c>
      <c r="F22" s="1025" t="b">
        <f>IF('Звіт   4,5,6'!E36=0,"Дані не введено",IF(AND(G23&gt;H23,I23&gt;0),TRUE))</f>
        <v>1</v>
      </c>
      <c r="G22" s="723" t="s">
        <v>796</v>
      </c>
      <c r="H22" s="723" t="s">
        <v>797</v>
      </c>
      <c r="I22" s="764" t="str">
        <f>J20</f>
        <v>Таблиця 5.1, р. 1.1.7 гр. 4
Амортизація</v>
      </c>
      <c r="J22" s="243"/>
      <c r="K22" s="244"/>
      <c r="L22" s="244"/>
      <c r="M22" s="57"/>
      <c r="N22" s="57"/>
      <c r="O22" s="57"/>
    </row>
    <row r="23" spans="1:18" ht="28.35" customHeight="1" thickBot="1" x14ac:dyDescent="0.35">
      <c r="A23" s="189"/>
      <c r="B23" s="971"/>
      <c r="C23" s="1060"/>
      <c r="D23" s="978"/>
      <c r="E23" s="980"/>
      <c r="F23" s="1047"/>
      <c r="G23" s="212">
        <f>'Звіт   9'!G10+'Звіт   9'!G14</f>
        <v>12305.7</v>
      </c>
      <c r="H23" s="212">
        <f>-('Звіт   9'!G11+'Звіт   9'!G15)</f>
        <v>6158.5</v>
      </c>
      <c r="I23" s="708">
        <f>'Звіт   4,5,6'!E83/1000</f>
        <v>317.82499999999999</v>
      </c>
      <c r="J23" s="245"/>
      <c r="K23" s="244"/>
      <c r="L23" s="244"/>
      <c r="M23" s="391"/>
      <c r="N23" s="391"/>
      <c r="O23" s="391"/>
      <c r="P23" s="211"/>
      <c r="Q23" s="211"/>
      <c r="R23" s="211"/>
    </row>
    <row r="24" spans="1:18" ht="23.25" customHeight="1" thickBot="1" x14ac:dyDescent="0.35">
      <c r="A24" s="189"/>
      <c r="B24" s="246"/>
      <c r="C24" s="718" t="s">
        <v>428</v>
      </c>
      <c r="D24" s="190"/>
      <c r="E24" s="191"/>
      <c r="F24" s="241"/>
      <c r="G24" s="1048"/>
      <c r="H24" s="1048"/>
      <c r="I24" s="1048"/>
      <c r="J24" s="1048"/>
      <c r="K24" s="1048"/>
      <c r="L24" s="247"/>
      <c r="M24" s="1049"/>
      <c r="N24" s="1049"/>
      <c r="O24" s="1049"/>
      <c r="P24" s="1049"/>
      <c r="Q24" s="1049"/>
      <c r="R24" s="1049"/>
    </row>
    <row r="25" spans="1:18" ht="60" customHeight="1" thickBot="1" x14ac:dyDescent="0.35">
      <c r="A25" s="189"/>
      <c r="B25" s="653" t="s">
        <v>546</v>
      </c>
      <c r="C25" s="616" t="s">
        <v>799</v>
      </c>
      <c r="D25" s="370" t="s">
        <v>417</v>
      </c>
      <c r="E25" s="392" t="s">
        <v>418</v>
      </c>
      <c r="F25" s="392" t="b">
        <f>IF('Звіт   4,5,6'!E36=0,"Дані не введено",IF(('Звіт 1,2,3'!K19+'Звіт 1,2,3'!O19+'Звіт 1,2,3'!Q19+'Звіт 1,2,3'!S19)/1000=0,FALSE,IF(K25=FALSE,FALSE,TRUE)))</f>
        <v>1</v>
      </c>
      <c r="G25" s="351"/>
      <c r="H25" s="320">
        <f>COUNTIF('Звіт 1,2,3'!F19:O43,"&lt;0")</f>
        <v>0</v>
      </c>
      <c r="I25" s="373">
        <f>COUNTIF('Звіт 1,2,3'!F65:O77,"&lt;0")</f>
        <v>0</v>
      </c>
      <c r="J25" s="373">
        <f>COUNTIF('Звіт 1,2,3'!I48:I52,"&lt;0")</f>
        <v>0</v>
      </c>
      <c r="K25" s="373" t="b">
        <f>IF(OR(H25&gt;=1,I25&gt;=1,J25&gt;=1),FALSE,TRUE)</f>
        <v>1</v>
      </c>
      <c r="L25" s="247"/>
      <c r="M25" s="1050"/>
      <c r="N25" s="1050"/>
      <c r="O25" s="1050"/>
      <c r="P25" s="1050"/>
      <c r="Q25" s="1050"/>
      <c r="R25" s="1050"/>
    </row>
    <row r="26" spans="1:18" s="193" customFormat="1" ht="94.7" customHeight="1" x14ac:dyDescent="0.3">
      <c r="A26" s="192"/>
      <c r="B26" s="1051" t="s">
        <v>513</v>
      </c>
      <c r="C26" s="1044" t="s">
        <v>548</v>
      </c>
      <c r="D26" s="977" t="s">
        <v>417</v>
      </c>
      <c r="E26" s="988" t="s">
        <v>424</v>
      </c>
      <c r="F26" s="1025" t="b">
        <f>IF('Звіт   4,5,6'!E36=0,"Дані не введено",IF(AND(H27&gt;0,G27&lt;H27),FALSE,IF(G27/IF(H27=0,1,H27)&gt;1.2,FALSE,IF(AND(K27&gt;0,J27&lt;K27),FALSE,IF(J27/IF(K27=0,1,K27)&gt;1.2,FALSE,IF(F25=FALSE,FALSE,TRUE))))))</f>
        <v>1</v>
      </c>
      <c r="G26" s="623" t="s">
        <v>798</v>
      </c>
      <c r="H26" s="623" t="s">
        <v>809</v>
      </c>
      <c r="I26" s="728" t="s">
        <v>423</v>
      </c>
      <c r="J26" s="623" t="s">
        <v>810</v>
      </c>
      <c r="K26" s="623" t="s">
        <v>811</v>
      </c>
      <c r="L26" s="724" t="s">
        <v>423</v>
      </c>
      <c r="M26" s="254"/>
      <c r="N26" s="254"/>
      <c r="O26" s="245"/>
      <c r="P26" s="254"/>
      <c r="Q26" s="254"/>
      <c r="R26" s="245"/>
    </row>
    <row r="27" spans="1:18" s="193" customFormat="1" ht="34.35" customHeight="1" thickBot="1" x14ac:dyDescent="0.35">
      <c r="A27" s="192"/>
      <c r="B27" s="1042"/>
      <c r="C27" s="1045"/>
      <c r="D27" s="1024"/>
      <c r="E27" s="989"/>
      <c r="F27" s="1047"/>
      <c r="G27" s="212">
        <f>'Звіт 1,2,3'!J19/1000</f>
        <v>78.995720000000006</v>
      </c>
      <c r="H27" s="212">
        <f>('Звіт 1,2,3'!J28+'Звіт 1,2,3'!J65)/1000</f>
        <v>78.995720000000006</v>
      </c>
      <c r="I27" s="738">
        <f>H27-G27</f>
        <v>0</v>
      </c>
      <c r="J27" s="90">
        <f>'Звіт 1,2,3'!L19/1000</f>
        <v>0</v>
      </c>
      <c r="K27" s="90">
        <f>('Звіт 1,2,3'!L28+'Звіт 1,2,3'!L65)/1000</f>
        <v>0</v>
      </c>
      <c r="L27" s="739">
        <f>J27-K27</f>
        <v>0</v>
      </c>
      <c r="M27" s="245"/>
      <c r="N27" s="245"/>
      <c r="O27" s="245"/>
      <c r="P27" s="390"/>
      <c r="Q27" s="390"/>
      <c r="R27" s="390"/>
    </row>
    <row r="28" spans="1:18" s="193" customFormat="1" ht="64.349999999999994" customHeight="1" x14ac:dyDescent="0.3">
      <c r="A28" s="192"/>
      <c r="B28" s="1042" t="s">
        <v>514</v>
      </c>
      <c r="C28" s="1044" t="s">
        <v>429</v>
      </c>
      <c r="D28" s="977" t="s">
        <v>417</v>
      </c>
      <c r="E28" s="1046" t="s">
        <v>424</v>
      </c>
      <c r="F28" s="1025" t="b">
        <f>IF('Звіт   4,5,6'!E36=0,"Дані не введено",IF(OR((I29+L29)&gt;=0,-(I29+L29)&lt;'Звіт   9'!G59),IF(F25=TRUE,TRUE,FALSE)))</f>
        <v>1</v>
      </c>
      <c r="G28" s="770" t="s">
        <v>812</v>
      </c>
      <c r="H28" s="770" t="s">
        <v>814</v>
      </c>
      <c r="I28" s="738" t="s">
        <v>423</v>
      </c>
      <c r="J28" s="621" t="s">
        <v>813</v>
      </c>
      <c r="K28" s="621" t="s">
        <v>815</v>
      </c>
      <c r="L28" s="789" t="s">
        <v>423</v>
      </c>
      <c r="M28" s="254"/>
      <c r="N28" s="254"/>
      <c r="O28" s="245"/>
      <c r="P28" s="254"/>
      <c r="Q28" s="254"/>
      <c r="R28" s="245"/>
    </row>
    <row r="29" spans="1:18" s="193" customFormat="1" ht="24.6" customHeight="1" thickBot="1" x14ac:dyDescent="0.35">
      <c r="A29" s="192"/>
      <c r="B29" s="1043"/>
      <c r="C29" s="1045"/>
      <c r="D29" s="978"/>
      <c r="E29" s="980"/>
      <c r="F29" s="1047"/>
      <c r="G29" s="212">
        <f>'Звіт 1,2,3'!I19/1000</f>
        <v>0</v>
      </c>
      <c r="H29" s="212">
        <f>('Звіт 1,2,3'!I28+'Звіт 1,2,3'!I65)/1000</f>
        <v>0</v>
      </c>
      <c r="I29" s="424">
        <f>G29-H29</f>
        <v>0</v>
      </c>
      <c r="J29" s="212">
        <f>'Звіт 1,2,3'!K19/1000</f>
        <v>1259.36384</v>
      </c>
      <c r="K29" s="212">
        <f>('Звіт 1,2,3'!K28+'Звіт 1,2,3'!K65)/1000</f>
        <v>176.39920000000001</v>
      </c>
      <c r="L29" s="692">
        <f>J29-K29</f>
        <v>1082.9646399999999</v>
      </c>
      <c r="M29" s="245"/>
      <c r="N29" s="245"/>
      <c r="O29" s="245"/>
      <c r="P29" s="245"/>
      <c r="Q29" s="245"/>
      <c r="R29" s="245"/>
    </row>
    <row r="30" spans="1:18" s="193" customFormat="1" ht="38.450000000000003" customHeight="1" thickBot="1" x14ac:dyDescent="0.35">
      <c r="A30" s="192"/>
      <c r="B30" s="335" t="s">
        <v>584</v>
      </c>
      <c r="C30" s="719" t="s">
        <v>430</v>
      </c>
      <c r="D30" s="194" t="s">
        <v>417</v>
      </c>
      <c r="E30" s="195" t="s">
        <v>418</v>
      </c>
      <c r="F30" s="275" t="b">
        <f>IF('Звіт   4,5,6'!E36=0,"Дані не введено",IF(G30&gt;0,TRUE))</f>
        <v>1</v>
      </c>
      <c r="G30" s="740">
        <f>'Звіт 1,2,3'!H19/1000</f>
        <v>2948.3118400000003</v>
      </c>
      <c r="H30" s="245"/>
      <c r="I30" s="245"/>
      <c r="J30" s="245"/>
      <c r="K30" s="252"/>
      <c r="L30" s="252"/>
      <c r="M30" s="252"/>
      <c r="N30" s="252"/>
      <c r="O30" s="252"/>
    </row>
    <row r="31" spans="1:18" s="193" customFormat="1" ht="19.350000000000001" hidden="1" customHeight="1" x14ac:dyDescent="0.3">
      <c r="A31" s="192"/>
      <c r="B31" s="1031" t="s">
        <v>515</v>
      </c>
      <c r="C31" s="1033" t="s">
        <v>431</v>
      </c>
      <c r="D31" s="1014" t="s">
        <v>705</v>
      </c>
      <c r="E31" s="1035" t="s">
        <v>424</v>
      </c>
      <c r="F31" s="1037" t="b">
        <f>IF('Звіт   4,5,6'!E36=0,"Дані не введено",IF(G32&lt;&gt;H32,TRUE,"FALSE - це 203 субрахунок, комунальні послуги не враховує"))</f>
        <v>1</v>
      </c>
      <c r="G31" s="273" t="s">
        <v>432</v>
      </c>
      <c r="H31" s="271" t="s">
        <v>433</v>
      </c>
      <c r="I31" s="272" t="s">
        <v>452</v>
      </c>
      <c r="J31" s="245"/>
      <c r="K31" s="252"/>
      <c r="L31" s="252"/>
      <c r="M31" s="252"/>
      <c r="N31" s="252"/>
      <c r="O31" s="252"/>
    </row>
    <row r="32" spans="1:18" s="193" customFormat="1" ht="34.35" hidden="1" customHeight="1" thickBot="1" x14ac:dyDescent="0.35">
      <c r="A32" s="196"/>
      <c r="B32" s="1032"/>
      <c r="C32" s="1034"/>
      <c r="D32" s="1015"/>
      <c r="E32" s="1036"/>
      <c r="F32" s="1038"/>
      <c r="G32" s="253">
        <f>ROUND('Звіт 1,2,3'!G37/1000,0)</f>
        <v>69</v>
      </c>
      <c r="H32" s="253">
        <f>ROUND('Звіт   4,5,6'!E50/1000,0)</f>
        <v>300</v>
      </c>
      <c r="I32" s="281">
        <f>G32*100/H32</f>
        <v>23</v>
      </c>
      <c r="J32" s="245"/>
      <c r="K32" s="252"/>
      <c r="L32" s="252"/>
      <c r="M32" s="252"/>
      <c r="N32" s="252"/>
      <c r="O32" s="252"/>
    </row>
    <row r="33" spans="1:19" s="187" customFormat="1" ht="23.45" customHeight="1" thickBot="1" x14ac:dyDescent="0.35">
      <c r="A33" s="186"/>
      <c r="B33" s="239"/>
      <c r="C33" s="720" t="s">
        <v>434</v>
      </c>
      <c r="D33" s="197"/>
      <c r="E33" s="198"/>
      <c r="F33" s="241"/>
      <c r="G33" s="29"/>
      <c r="H33" s="29"/>
      <c r="I33" s="29"/>
      <c r="J33" s="241"/>
      <c r="K33" s="29"/>
      <c r="L33" s="29"/>
      <c r="M33" s="29"/>
      <c r="N33" s="29"/>
      <c r="O33" s="29"/>
    </row>
    <row r="34" spans="1:19" ht="38.1" customHeight="1" thickBot="1" x14ac:dyDescent="0.35">
      <c r="A34" s="188"/>
      <c r="B34" s="278" t="s">
        <v>516</v>
      </c>
      <c r="C34" s="721" t="s">
        <v>435</v>
      </c>
      <c r="D34" s="368" t="s">
        <v>417</v>
      </c>
      <c r="E34" s="379" t="s">
        <v>418</v>
      </c>
      <c r="F34" s="376" t="b">
        <f>IF('Звіт   4,5,6'!E36=0,"Дані не введено",IF(G34&gt;0,TRUE))</f>
        <v>1</v>
      </c>
      <c r="G34" s="741">
        <f>'Звіт   4,5,6'!H12/1000</f>
        <v>2948.3118400000003</v>
      </c>
      <c r="H34" s="29"/>
      <c r="I34" s="29"/>
      <c r="J34" s="241"/>
      <c r="K34" s="29"/>
      <c r="L34" s="29"/>
      <c r="M34" s="29"/>
      <c r="N34" s="29"/>
      <c r="O34" s="29"/>
    </row>
    <row r="35" spans="1:19" ht="51.6" customHeight="1" x14ac:dyDescent="0.3">
      <c r="A35" s="189"/>
      <c r="B35" s="961" t="s">
        <v>517</v>
      </c>
      <c r="C35" s="1039" t="s">
        <v>802</v>
      </c>
      <c r="D35" s="977" t="s">
        <v>417</v>
      </c>
      <c r="E35" s="1035" t="s">
        <v>418</v>
      </c>
      <c r="F35" s="1025" t="b">
        <f>IF('Звіт   4,5,6'!E36=0,"Дані не введено",IF(G36&gt;=H36,TRUE))</f>
        <v>1</v>
      </c>
      <c r="G35" s="723" t="s">
        <v>803</v>
      </c>
      <c r="H35" s="764" t="s">
        <v>804</v>
      </c>
      <c r="I35" s="254"/>
      <c r="J35" s="254"/>
      <c r="K35" s="29"/>
      <c r="L35" s="29"/>
      <c r="M35" s="29"/>
      <c r="N35" s="29"/>
      <c r="O35" s="29"/>
    </row>
    <row r="36" spans="1:19" ht="33.6" customHeight="1" thickBot="1" x14ac:dyDescent="0.35">
      <c r="A36" s="189"/>
      <c r="B36" s="962"/>
      <c r="C36" s="1040"/>
      <c r="D36" s="1024"/>
      <c r="E36" s="1041"/>
      <c r="F36" s="1026"/>
      <c r="G36" s="255">
        <f>'Звіт   4,5,6'!H11/1000</f>
        <v>2948.3118399999998</v>
      </c>
      <c r="H36" s="256">
        <f>'Звіт   4,5,6'!H12/1000</f>
        <v>2948.3118400000003</v>
      </c>
      <c r="I36" s="254"/>
      <c r="J36" s="254"/>
      <c r="K36" s="29"/>
      <c r="L36" s="29"/>
      <c r="M36" s="29"/>
      <c r="N36" s="29"/>
      <c r="O36" s="29"/>
    </row>
    <row r="37" spans="1:19" ht="55.7" customHeight="1" x14ac:dyDescent="0.3">
      <c r="A37" s="186"/>
      <c r="B37" s="961" t="s">
        <v>518</v>
      </c>
      <c r="C37" s="963" t="s">
        <v>498</v>
      </c>
      <c r="D37" s="1027" t="s">
        <v>450</v>
      </c>
      <c r="E37" s="988" t="s">
        <v>426</v>
      </c>
      <c r="F37" s="990" t="b">
        <f>IF('Звіт   4,5,6'!E36=0,"Дані не введено",IF(I38&gt;=0,TRUE, "Увага"))</f>
        <v>1</v>
      </c>
      <c r="G37" s="723" t="str">
        <f>K11</f>
        <v>Таблиця 4, р.4 гр.5
Дохід, всього</v>
      </c>
      <c r="H37" s="723" t="s">
        <v>800</v>
      </c>
      <c r="I37" s="242" t="s">
        <v>423</v>
      </c>
      <c r="J37" s="254"/>
      <c r="K37" s="29"/>
      <c r="L37" s="29"/>
      <c r="M37" s="282" t="s">
        <v>456</v>
      </c>
      <c r="N37" s="282"/>
      <c r="O37" s="282"/>
    </row>
    <row r="38" spans="1:19" ht="24" customHeight="1" thickBot="1" x14ac:dyDescent="0.35">
      <c r="A38" s="186"/>
      <c r="B38" s="971"/>
      <c r="C38" s="972"/>
      <c r="D38" s="1028"/>
      <c r="E38" s="989"/>
      <c r="F38" s="991"/>
      <c r="G38" s="250">
        <f>'Звіт   4,5,6'!H7/1000</f>
        <v>4615.2218300000004</v>
      </c>
      <c r="H38" s="250">
        <f>'Звіт   4,5,6'!E34/1000</f>
        <v>4292.0162599999994</v>
      </c>
      <c r="I38" s="251">
        <f>G38-H38</f>
        <v>323.20557000000099</v>
      </c>
      <c r="J38" s="254"/>
      <c r="K38" s="29"/>
      <c r="L38" s="29"/>
      <c r="M38" s="260"/>
      <c r="N38" s="260"/>
      <c r="O38" s="260"/>
    </row>
    <row r="39" spans="1:19" ht="56.45" customHeight="1" x14ac:dyDescent="0.3">
      <c r="A39" s="186"/>
      <c r="B39" s="961" t="s">
        <v>519</v>
      </c>
      <c r="C39" s="963" t="s">
        <v>497</v>
      </c>
      <c r="D39" s="1027" t="s">
        <v>450</v>
      </c>
      <c r="E39" s="988" t="s">
        <v>426</v>
      </c>
      <c r="F39" s="990" t="b">
        <f>IF('Звіт   4,5,6'!E36=0,"Дані не введено",IF(I40&gt;=0,TRUE, "Увага"))</f>
        <v>1</v>
      </c>
      <c r="G39" s="723" t="str">
        <f>G37</f>
        <v>Таблиця 4, р.4 гр.5
Дохід, всього</v>
      </c>
      <c r="H39" s="723" t="s">
        <v>801</v>
      </c>
      <c r="I39" s="242" t="s">
        <v>423</v>
      </c>
      <c r="J39" s="254"/>
      <c r="M39" s="260"/>
      <c r="N39" s="260"/>
      <c r="O39" s="260"/>
      <c r="R39" s="241"/>
      <c r="S39" s="211"/>
    </row>
    <row r="40" spans="1:19" ht="28.35" customHeight="1" thickBot="1" x14ac:dyDescent="0.35">
      <c r="A40" s="186"/>
      <c r="B40" s="962"/>
      <c r="C40" s="964"/>
      <c r="D40" s="1029"/>
      <c r="E40" s="1030"/>
      <c r="F40" s="1018"/>
      <c r="G40" s="255">
        <f>G38</f>
        <v>4615.2218300000004</v>
      </c>
      <c r="H40" s="255">
        <f>'Звіт   4,5,6'!G91/1000</f>
        <v>4609.8412600000011</v>
      </c>
      <c r="I40" s="742">
        <f>G40-H40</f>
        <v>5.3805699999993521</v>
      </c>
      <c r="J40" s="254"/>
      <c r="M40" s="260"/>
      <c r="R40" s="283"/>
      <c r="S40" s="211"/>
    </row>
    <row r="41" spans="1:19" ht="131.44999999999999" customHeight="1" x14ac:dyDescent="0.3">
      <c r="A41" s="186"/>
      <c r="B41" s="961" t="s">
        <v>520</v>
      </c>
      <c r="C41" s="1022" t="s">
        <v>457</v>
      </c>
      <c r="D41" s="977" t="s">
        <v>417</v>
      </c>
      <c r="E41" s="988" t="s">
        <v>418</v>
      </c>
      <c r="F41" s="990" t="b">
        <f>IF('Звіт   4,5,6'!E36=0,"Дані не введено",IF(OR(AND(K42=N42,M42&gt;0,L42=0)),TRUE,IF(AND(L42=O42,M42&lt;0,K42=0),TRUE,IF(AND(M42=0,K42=0,L42=0),TRUE,FALSE))))</f>
        <v>1</v>
      </c>
      <c r="G41" s="723" t="s">
        <v>454</v>
      </c>
      <c r="H41" s="723" t="s">
        <v>458</v>
      </c>
      <c r="I41" s="623" t="s">
        <v>459</v>
      </c>
      <c r="J41" s="623" t="s">
        <v>453</v>
      </c>
      <c r="K41" s="723" t="s">
        <v>496</v>
      </c>
      <c r="L41" s="623" t="s">
        <v>455</v>
      </c>
      <c r="M41" s="790" t="s">
        <v>460</v>
      </c>
      <c r="N41" s="791" t="s">
        <v>461</v>
      </c>
      <c r="O41" s="792" t="s">
        <v>462</v>
      </c>
      <c r="R41" s="211"/>
      <c r="S41" s="211"/>
    </row>
    <row r="42" spans="1:19" ht="45.6" customHeight="1" thickBot="1" x14ac:dyDescent="0.35">
      <c r="A42" s="186"/>
      <c r="B42" s="971"/>
      <c r="C42" s="1023"/>
      <c r="D42" s="978"/>
      <c r="E42" s="989"/>
      <c r="F42" s="991"/>
      <c r="G42" s="250">
        <f>ROUND('Звіт   9'!G29,1)</f>
        <v>0</v>
      </c>
      <c r="H42" s="250">
        <f>ROUND('Звіт   4,5,6'!H12/1000,1)</f>
        <v>2948.3</v>
      </c>
      <c r="I42" s="250">
        <f>ROUND('Звіт   9'!G76,1)</f>
        <v>0</v>
      </c>
      <c r="J42" s="250">
        <f>ROUND('Дод_Надходж ПМГ '!E9/1000,1)</f>
        <v>2948.3</v>
      </c>
      <c r="K42" s="284">
        <f>ROUND('Звіт   9'!J29,1)</f>
        <v>0</v>
      </c>
      <c r="L42" s="284">
        <f>ROUND('Звіт   9'!J76,1)</f>
        <v>0</v>
      </c>
      <c r="M42" s="356">
        <f>G42+H42-I42-J42</f>
        <v>0</v>
      </c>
      <c r="N42" s="356" t="str">
        <f>IF(AND(M42&gt;0,L42=0),(G42+H42-I42-J42),"не застосовується")</f>
        <v>не застосовується</v>
      </c>
      <c r="O42" s="285" t="str">
        <f>IF(AND(M42&lt;0,K42=0),-(G42+H42-I42-J42),"не застосовується")</f>
        <v>не застосовується</v>
      </c>
      <c r="R42" s="211"/>
      <c r="S42" s="211"/>
    </row>
    <row r="43" spans="1:19" ht="23.1" customHeight="1" thickBot="1" x14ac:dyDescent="0.35">
      <c r="A43" s="186"/>
      <c r="B43" s="372"/>
      <c r="C43" s="722" t="s">
        <v>436</v>
      </c>
      <c r="D43" s="199"/>
      <c r="E43" s="276"/>
      <c r="F43" s="377"/>
      <c r="G43" s="257"/>
      <c r="H43" s="243"/>
      <c r="I43" s="254"/>
      <c r="J43" s="254"/>
      <c r="R43" s="241"/>
      <c r="S43" s="211"/>
    </row>
    <row r="44" spans="1:19" ht="31.35" customHeight="1" x14ac:dyDescent="0.3">
      <c r="A44" s="186"/>
      <c r="B44" s="961" t="s">
        <v>521</v>
      </c>
      <c r="C44" s="963" t="s">
        <v>437</v>
      </c>
      <c r="D44" s="977" t="s">
        <v>417</v>
      </c>
      <c r="E44" s="979" t="s">
        <v>418</v>
      </c>
      <c r="F44" s="1025" t="b">
        <f>IF('Звіт   4,5,6'!E36=0,"Дані не введено",IF(G45&gt;0,H45&gt;=0.5*G45,TRUE))</f>
        <v>1</v>
      </c>
      <c r="G44" s="723" t="s">
        <v>438</v>
      </c>
      <c r="H44" s="793">
        <v>903</v>
      </c>
      <c r="I44" s="254"/>
      <c r="J44" s="254"/>
      <c r="R44" s="241"/>
      <c r="S44" s="211"/>
    </row>
    <row r="45" spans="1:19" ht="23.1" customHeight="1" thickBot="1" x14ac:dyDescent="0.35">
      <c r="A45" s="186"/>
      <c r="B45" s="962"/>
      <c r="C45" s="964"/>
      <c r="D45" s="1024"/>
      <c r="E45" s="1017"/>
      <c r="F45" s="1026"/>
      <c r="G45" s="255">
        <f>'Звіт   4,5,6'!H12/1000</f>
        <v>2948.3118400000003</v>
      </c>
      <c r="H45" s="256">
        <f>'Звіт   4,5,6'!G35/1000</f>
        <v>2322.9483399999999</v>
      </c>
      <c r="I45" s="254"/>
      <c r="J45" s="254"/>
      <c r="R45" s="252"/>
      <c r="S45" s="211"/>
    </row>
    <row r="46" spans="1:19" ht="55.35" customHeight="1" x14ac:dyDescent="0.3">
      <c r="A46" s="186"/>
      <c r="B46" s="961" t="s">
        <v>522</v>
      </c>
      <c r="C46" s="963" t="s">
        <v>463</v>
      </c>
      <c r="D46" s="977" t="s">
        <v>417</v>
      </c>
      <c r="E46" s="979" t="s">
        <v>418</v>
      </c>
      <c r="F46" s="969" t="b">
        <f>IF('Звіт   4,5,6'!E36=0,"Дані не введено",IF(AND(H47&gt;=G47,J47&gt;=I47),TRUE,FALSE))</f>
        <v>1</v>
      </c>
      <c r="G46" s="723" t="s">
        <v>464</v>
      </c>
      <c r="H46" s="764" t="s">
        <v>465</v>
      </c>
      <c r="I46" s="243"/>
      <c r="J46" s="243"/>
      <c r="P46" s="29"/>
    </row>
    <row r="47" spans="1:19" ht="23.1" customHeight="1" thickBot="1" x14ac:dyDescent="0.35">
      <c r="A47" s="186"/>
      <c r="B47" s="971"/>
      <c r="C47" s="972"/>
      <c r="D47" s="978"/>
      <c r="E47" s="980"/>
      <c r="F47" s="981"/>
      <c r="G47" s="250">
        <f>'Звіт 1,2,3'!G35/1000</f>
        <v>83.989840000000001</v>
      </c>
      <c r="H47" s="258">
        <f>'Звіт 1,2,3'!G34/1000</f>
        <v>83.989840000000001</v>
      </c>
      <c r="I47" s="254"/>
      <c r="J47" s="254"/>
      <c r="K47" s="29"/>
    </row>
    <row r="48" spans="1:19" s="193" customFormat="1" ht="30" customHeight="1" thickBot="1" x14ac:dyDescent="0.35">
      <c r="A48" s="200"/>
      <c r="B48" s="259"/>
      <c r="C48" s="216" t="s">
        <v>439</v>
      </c>
      <c r="D48" s="199"/>
      <c r="E48" s="276"/>
      <c r="F48" s="377"/>
      <c r="G48" s="257"/>
      <c r="H48" s="245"/>
      <c r="I48" s="245"/>
      <c r="J48" s="245"/>
      <c r="K48" s="252"/>
      <c r="L48" s="252"/>
      <c r="M48" s="252"/>
      <c r="N48" s="252"/>
      <c r="O48" s="252"/>
    </row>
    <row r="49" spans="1:17" ht="67.349999999999994" customHeight="1" x14ac:dyDescent="0.3">
      <c r="A49" s="186"/>
      <c r="B49" s="961" t="s">
        <v>523</v>
      </c>
      <c r="C49" s="1020" t="s">
        <v>478</v>
      </c>
      <c r="D49" s="977" t="s">
        <v>417</v>
      </c>
      <c r="E49" s="979" t="s">
        <v>424</v>
      </c>
      <c r="F49" s="990" t="b">
        <f>IF('Звіт   4,5,6'!E36=0,"Дані не введено",IF(I50=0,TRUE))</f>
        <v>1</v>
      </c>
      <c r="G49" s="723" t="s">
        <v>838</v>
      </c>
      <c r="H49" s="697" t="s">
        <v>837</v>
      </c>
      <c r="I49" s="242" t="s">
        <v>423</v>
      </c>
      <c r="J49" s="254"/>
      <c r="K49" s="260"/>
      <c r="L49" s="1019"/>
      <c r="M49" s="1019"/>
      <c r="N49" s="378"/>
      <c r="O49" s="378"/>
      <c r="P49" s="187"/>
      <c r="Q49" s="187"/>
    </row>
    <row r="50" spans="1:17" ht="30.6" customHeight="1" thickBot="1" x14ac:dyDescent="0.3">
      <c r="B50" s="971"/>
      <c r="C50" s="1021"/>
      <c r="D50" s="978"/>
      <c r="E50" s="980"/>
      <c r="F50" s="991"/>
      <c r="G50" s="261">
        <f>ROUND(('Звіт   4,5,6'!E36+'Звіт   4,5,6'!I36)/1000,0)</f>
        <v>3017</v>
      </c>
      <c r="H50" s="261">
        <f>ROUND('Звіт  7,8'!F8/1000,0)</f>
        <v>3017</v>
      </c>
      <c r="I50" s="249">
        <f>H50-G50</f>
        <v>0</v>
      </c>
      <c r="J50" s="245"/>
      <c r="K50" s="29"/>
      <c r="L50" s="262"/>
      <c r="M50" s="262"/>
      <c r="N50" s="262"/>
      <c r="O50" s="262"/>
      <c r="P50" s="187"/>
      <c r="Q50" s="187"/>
    </row>
    <row r="51" spans="1:17" ht="31.7" hidden="1" customHeight="1" thickBot="1" x14ac:dyDescent="0.3">
      <c r="B51" s="961" t="s">
        <v>524</v>
      </c>
      <c r="C51" s="1012" t="s">
        <v>474</v>
      </c>
      <c r="D51" s="1014" t="s">
        <v>706</v>
      </c>
      <c r="E51" s="979" t="s">
        <v>424</v>
      </c>
      <c r="F51" s="990" t="b">
        <f>IF('Звіт   4,5,6'!E36=0,"Дані не введено",IF(G52=0,H52&gt;0,TRUE))</f>
        <v>1</v>
      </c>
      <c r="G51" s="794" t="s">
        <v>441</v>
      </c>
      <c r="H51" s="764" t="s">
        <v>472</v>
      </c>
      <c r="I51" s="245"/>
      <c r="J51" s="245"/>
      <c r="K51" s="29"/>
      <c r="L51" s="262"/>
      <c r="M51" s="262"/>
      <c r="N51" s="262"/>
      <c r="O51" s="262"/>
      <c r="P51" s="187"/>
      <c r="Q51" s="187"/>
    </row>
    <row r="52" spans="1:17" ht="31.7" hidden="1" customHeight="1" thickBot="1" x14ac:dyDescent="0.3">
      <c r="B52" s="971"/>
      <c r="C52" s="1013"/>
      <c r="D52" s="1015"/>
      <c r="E52" s="980"/>
      <c r="F52" s="991"/>
      <c r="G52" s="261">
        <f>'Звіт  7,8'!L9/1000</f>
        <v>0</v>
      </c>
      <c r="H52" s="264">
        <f>'Звіт  7,8'!J9/1000</f>
        <v>120.00389</v>
      </c>
      <c r="I52" s="245"/>
      <c r="J52" s="245"/>
      <c r="K52" s="29"/>
      <c r="L52" s="262"/>
      <c r="M52" s="262"/>
      <c r="N52" s="262"/>
      <c r="O52" s="262"/>
      <c r="P52" s="187"/>
      <c r="Q52" s="187"/>
    </row>
    <row r="53" spans="1:17" ht="31.7" hidden="1" customHeight="1" thickBot="1" x14ac:dyDescent="0.3">
      <c r="B53" s="961" t="s">
        <v>525</v>
      </c>
      <c r="C53" s="1012" t="s">
        <v>473</v>
      </c>
      <c r="D53" s="1014" t="s">
        <v>706</v>
      </c>
      <c r="E53" s="979" t="s">
        <v>424</v>
      </c>
      <c r="F53" s="990" t="b">
        <f>IF('Звіт   4,5,6'!E36=0,"Дані не введено",IF(G54=0,H54&gt;0,TRUE))</f>
        <v>1</v>
      </c>
      <c r="G53" s="723" t="s">
        <v>443</v>
      </c>
      <c r="H53" s="764" t="s">
        <v>442</v>
      </c>
      <c r="I53" s="373"/>
      <c r="J53" s="373"/>
      <c r="K53" s="262"/>
      <c r="L53" s="262"/>
      <c r="M53" s="262"/>
      <c r="N53" s="262"/>
      <c r="O53" s="262"/>
    </row>
    <row r="54" spans="1:17" ht="24.6" hidden="1" customHeight="1" thickBot="1" x14ac:dyDescent="0.3">
      <c r="B54" s="971"/>
      <c r="C54" s="1013"/>
      <c r="D54" s="1015"/>
      <c r="E54" s="980"/>
      <c r="F54" s="991"/>
      <c r="G54" s="261">
        <f>'Звіт  7,8'!L10/1000</f>
        <v>0</v>
      </c>
      <c r="H54" s="264">
        <f>'Звіт  7,8'!J10/1000</f>
        <v>101.69609</v>
      </c>
      <c r="I54" s="263"/>
      <c r="J54" s="263"/>
      <c r="K54" s="262"/>
      <c r="L54" s="262"/>
      <c r="M54" s="262"/>
      <c r="N54" s="262"/>
      <c r="O54" s="262"/>
    </row>
    <row r="55" spans="1:17" ht="31.7" hidden="1" customHeight="1" thickBot="1" x14ac:dyDescent="0.3">
      <c r="B55" s="961" t="s">
        <v>526</v>
      </c>
      <c r="C55" s="1012" t="s">
        <v>477</v>
      </c>
      <c r="D55" s="1014" t="s">
        <v>706</v>
      </c>
      <c r="E55" s="979" t="s">
        <v>424</v>
      </c>
      <c r="F55" s="990" t="b">
        <f>IF('Звіт   4,5,6'!E36=0,"Дані не введено",IF(G56=0,H56&gt;0,TRUE))</f>
        <v>1</v>
      </c>
      <c r="G55" s="794" t="s">
        <v>444</v>
      </c>
      <c r="H55" s="629" t="s">
        <v>445</v>
      </c>
      <c r="I55" s="373"/>
      <c r="J55" s="373"/>
      <c r="K55" s="262"/>
      <c r="L55" s="262"/>
      <c r="M55" s="262"/>
      <c r="N55" s="262"/>
      <c r="O55" s="262"/>
    </row>
    <row r="56" spans="1:17" ht="30" hidden="1" customHeight="1" thickBot="1" x14ac:dyDescent="0.3">
      <c r="B56" s="962"/>
      <c r="C56" s="1016"/>
      <c r="D56" s="1015"/>
      <c r="E56" s="1017"/>
      <c r="F56" s="1018"/>
      <c r="G56" s="299">
        <f>'Звіт  7,8'!L14/1000</f>
        <v>0</v>
      </c>
      <c r="H56" s="300">
        <f>'Звіт  7,8'!J14/1000</f>
        <v>361.54194000000001</v>
      </c>
      <c r="I56" s="263"/>
      <c r="J56" s="263"/>
      <c r="K56" s="205"/>
      <c r="L56" s="262"/>
      <c r="M56" s="262"/>
      <c r="N56" s="262"/>
      <c r="O56" s="262"/>
    </row>
    <row r="57" spans="1:17" ht="35.1" customHeight="1" x14ac:dyDescent="0.25">
      <c r="B57" s="1002" t="s">
        <v>527</v>
      </c>
      <c r="C57" s="1004" t="s">
        <v>475</v>
      </c>
      <c r="D57" s="1006" t="s">
        <v>417</v>
      </c>
      <c r="E57" s="1008" t="s">
        <v>424</v>
      </c>
      <c r="F57" s="1010" t="b">
        <f>IF('Звіт   4,5,6'!E36=0,"Дані не введено",IF(AND(G58&gt;0,H58&gt;0),TRUE))</f>
        <v>1</v>
      </c>
      <c r="G57" s="795" t="s">
        <v>476</v>
      </c>
      <c r="H57" s="796" t="s">
        <v>470</v>
      </c>
      <c r="I57" s="301"/>
      <c r="J57" s="302" t="s">
        <v>448</v>
      </c>
      <c r="K57" s="302" t="s">
        <v>448</v>
      </c>
      <c r="L57" s="262"/>
      <c r="M57" s="262"/>
      <c r="N57" s="262"/>
      <c r="O57" s="262"/>
    </row>
    <row r="58" spans="1:17" ht="30" customHeight="1" thickBot="1" x14ac:dyDescent="0.3">
      <c r="B58" s="1003"/>
      <c r="C58" s="1005"/>
      <c r="D58" s="1007"/>
      <c r="E58" s="1009"/>
      <c r="F58" s="1011"/>
      <c r="G58" s="303">
        <f>'Звіт  7,8'!F9/1000</f>
        <v>120.00389</v>
      </c>
      <c r="H58" s="304">
        <f>'Звіт  7,8'!F20</f>
        <v>2</v>
      </c>
      <c r="I58" s="305"/>
      <c r="J58" s="306">
        <f>G58+G60+H60+G62+G64+G66+G68+G70+H70+G72+I60+I70-'Звіт  7,8'!F8/1000</f>
        <v>0</v>
      </c>
      <c r="K58" s="306">
        <f>H58+J60+J62+H64+H66+H68+J70+J72-'Звіт  7,8'!E20</f>
        <v>0</v>
      </c>
      <c r="L58" s="262"/>
      <c r="M58" s="262"/>
      <c r="N58" s="262"/>
      <c r="O58" s="262"/>
    </row>
    <row r="59" spans="1:17" ht="43.35" customHeight="1" x14ac:dyDescent="0.25">
      <c r="B59" s="1002" t="s">
        <v>528</v>
      </c>
      <c r="C59" s="1004" t="s">
        <v>713</v>
      </c>
      <c r="D59" s="1006" t="s">
        <v>417</v>
      </c>
      <c r="E59" s="1008" t="s">
        <v>424</v>
      </c>
      <c r="F59" s="1010" t="b">
        <f>IF('Звіт   4,5,6'!E36=0,"Дані не введено",IF(OR(AND(G60&gt;0,J60&gt;0)),TRUE,IF(AND(H60&gt;0,J60&gt;0),TRUE,IF(AND(I60&gt;0,J60&gt;0),TRUE,IF(AND(G60=0,H60=0,I60=0,J60=0),TRUE,FALSE)))))</f>
        <v>1</v>
      </c>
      <c r="G59" s="795" t="s">
        <v>479</v>
      </c>
      <c r="H59" s="795" t="s">
        <v>711</v>
      </c>
      <c r="I59" s="795" t="s">
        <v>712</v>
      </c>
      <c r="J59" s="796" t="s">
        <v>471</v>
      </c>
      <c r="K59" s="307"/>
      <c r="L59" s="262"/>
      <c r="M59" s="262"/>
      <c r="N59" s="262"/>
      <c r="O59" s="262"/>
    </row>
    <row r="60" spans="1:17" ht="30" customHeight="1" thickBot="1" x14ac:dyDescent="0.3">
      <c r="B60" s="1003"/>
      <c r="C60" s="1005"/>
      <c r="D60" s="1007"/>
      <c r="E60" s="1009"/>
      <c r="F60" s="1011"/>
      <c r="G60" s="303">
        <f>'Звіт  7,8'!J10/1000</f>
        <v>101.69609</v>
      </c>
      <c r="H60" s="303">
        <f>'Звіт  7,8'!N10/1000</f>
        <v>0</v>
      </c>
      <c r="I60" s="303">
        <f>'Звіт  7,8'!L10/1000</f>
        <v>0</v>
      </c>
      <c r="J60" s="304">
        <f>'Звіт  7,8'!G20</f>
        <v>2</v>
      </c>
      <c r="K60" s="307"/>
      <c r="L60" s="262"/>
      <c r="M60" s="262"/>
      <c r="N60" s="262"/>
      <c r="O60" s="262"/>
    </row>
    <row r="61" spans="1:17" ht="52.35" customHeight="1" x14ac:dyDescent="0.25">
      <c r="B61" s="1002" t="s">
        <v>529</v>
      </c>
      <c r="C61" s="1004" t="s">
        <v>714</v>
      </c>
      <c r="D61" s="1006" t="s">
        <v>417</v>
      </c>
      <c r="E61" s="1008" t="s">
        <v>424</v>
      </c>
      <c r="F61" s="1010" t="b">
        <f>IF('Звіт   4,5,6'!E36=0,"Дані не введено",IF(OR(AND(G62&gt;0,J62&gt;0)),TRUE,IF(AND(H62&gt;0,J62&gt;0),TRUE,IF(AND(I62&gt;0,J62&gt;0),TRUE,IF(AND(G62=0,H62=0,I62=0,J62=0),TRUE,FALSE)))))</f>
        <v>1</v>
      </c>
      <c r="G61" s="795" t="s">
        <v>715</v>
      </c>
      <c r="H61" s="795" t="s">
        <v>711</v>
      </c>
      <c r="I61" s="795" t="s">
        <v>712</v>
      </c>
      <c r="J61" s="796" t="s">
        <v>480</v>
      </c>
      <c r="K61" s="307"/>
      <c r="L61" s="262"/>
      <c r="M61" s="262"/>
      <c r="N61" s="262"/>
      <c r="O61" s="262"/>
    </row>
    <row r="62" spans="1:17" ht="30" customHeight="1" thickBot="1" x14ac:dyDescent="0.3">
      <c r="B62" s="1003"/>
      <c r="C62" s="1005"/>
      <c r="D62" s="1007"/>
      <c r="E62" s="1009"/>
      <c r="F62" s="1011"/>
      <c r="G62" s="303">
        <f>'Звіт  7,8'!H10/1000</f>
        <v>0</v>
      </c>
      <c r="H62" s="303">
        <f>'Звіт  7,8'!N10/1000</f>
        <v>0</v>
      </c>
      <c r="I62" s="303">
        <f>'Звіт  7,8'!L10/1000</f>
        <v>0</v>
      </c>
      <c r="J62" s="304">
        <f>'Звіт  7,8'!H20</f>
        <v>0</v>
      </c>
      <c r="K62" s="307"/>
      <c r="L62" s="262"/>
      <c r="M62" s="262"/>
      <c r="N62" s="262"/>
      <c r="O62" s="262"/>
    </row>
    <row r="63" spans="1:17" ht="47.45" customHeight="1" x14ac:dyDescent="0.25">
      <c r="B63" s="1002" t="s">
        <v>530</v>
      </c>
      <c r="C63" s="1004" t="s">
        <v>482</v>
      </c>
      <c r="D63" s="1006" t="s">
        <v>417</v>
      </c>
      <c r="E63" s="1008" t="s">
        <v>424</v>
      </c>
      <c r="F63" s="1010" t="b">
        <f>IF('Звіт   4,5,6'!E36=0,"Дані не введено",IF(AND(G64&gt;0,H64&gt;0),TRUE))</f>
        <v>1</v>
      </c>
      <c r="G63" s="795" t="s">
        <v>481</v>
      </c>
      <c r="H63" s="796" t="s">
        <v>483</v>
      </c>
      <c r="I63" s="305"/>
      <c r="J63" s="305"/>
      <c r="K63" s="307"/>
      <c r="L63" s="262"/>
      <c r="M63" s="262"/>
      <c r="N63" s="262"/>
      <c r="O63" s="262"/>
    </row>
    <row r="64" spans="1:17" ht="30" customHeight="1" thickBot="1" x14ac:dyDescent="0.3">
      <c r="B64" s="1003"/>
      <c r="C64" s="1005"/>
      <c r="D64" s="1007"/>
      <c r="E64" s="1009"/>
      <c r="F64" s="1011"/>
      <c r="G64" s="303">
        <f>'Звіт  7,8'!F11/1000</f>
        <v>447.70370000000003</v>
      </c>
      <c r="H64" s="304">
        <f>'Звіт  7,8'!I20</f>
        <v>9</v>
      </c>
      <c r="I64" s="305"/>
      <c r="J64" s="305"/>
      <c r="K64" s="307"/>
      <c r="L64" s="262"/>
      <c r="M64" s="262"/>
      <c r="N64" s="262"/>
      <c r="O64" s="262"/>
    </row>
    <row r="65" spans="2:20" ht="51" customHeight="1" x14ac:dyDescent="0.25">
      <c r="B65" s="1002" t="s">
        <v>531</v>
      </c>
      <c r="C65" s="1004" t="s">
        <v>494</v>
      </c>
      <c r="D65" s="1006" t="s">
        <v>417</v>
      </c>
      <c r="E65" s="1008" t="s">
        <v>424</v>
      </c>
      <c r="F65" s="1010" t="b">
        <f>IF('Звіт   4,5,6'!E36=0,"Дані не введено",IF(AND(G66&gt;0,H66&gt;0),TRUE))</f>
        <v>1</v>
      </c>
      <c r="G65" s="795" t="s">
        <v>484</v>
      </c>
      <c r="H65" s="796" t="s">
        <v>485</v>
      </c>
      <c r="I65" s="305"/>
      <c r="J65" s="305"/>
      <c r="K65" s="307"/>
      <c r="L65" s="262"/>
      <c r="M65" s="262"/>
      <c r="N65" s="262"/>
      <c r="O65" s="262"/>
    </row>
    <row r="66" spans="2:20" ht="30" customHeight="1" thickBot="1" x14ac:dyDescent="0.3">
      <c r="B66" s="1003"/>
      <c r="C66" s="1005"/>
      <c r="D66" s="1007"/>
      <c r="E66" s="1009"/>
      <c r="F66" s="1011"/>
      <c r="G66" s="303">
        <f>'Звіт  7,8'!F12/1000</f>
        <v>1322.6233200000001</v>
      </c>
      <c r="H66" s="304">
        <f>'Звіт  7,8'!J20</f>
        <v>35</v>
      </c>
      <c r="I66" s="305"/>
      <c r="J66" s="305"/>
      <c r="K66" s="307"/>
      <c r="L66" s="262"/>
      <c r="M66" s="262"/>
      <c r="N66" s="262"/>
      <c r="O66" s="262"/>
    </row>
    <row r="67" spans="2:20" ht="54" customHeight="1" x14ac:dyDescent="0.25">
      <c r="B67" s="1002" t="s">
        <v>532</v>
      </c>
      <c r="C67" s="1004" t="s">
        <v>495</v>
      </c>
      <c r="D67" s="1006" t="s">
        <v>417</v>
      </c>
      <c r="E67" s="1008" t="s">
        <v>424</v>
      </c>
      <c r="F67" s="1010" t="b">
        <f>IF('Звіт   4,5,6'!E36=0,"Дані не введено",IF(AND(G68&gt;0,H68&gt;0),TRUE))</f>
        <v>1</v>
      </c>
      <c r="G67" s="795" t="s">
        <v>486</v>
      </c>
      <c r="H67" s="796" t="s">
        <v>487</v>
      </c>
      <c r="I67" s="305"/>
      <c r="J67" s="305"/>
      <c r="K67" s="307"/>
      <c r="L67" s="262"/>
      <c r="M67" s="262"/>
      <c r="N67" s="262"/>
      <c r="O67" s="262"/>
    </row>
    <row r="68" spans="2:20" ht="30" customHeight="1" thickBot="1" x14ac:dyDescent="0.3">
      <c r="B68" s="1003"/>
      <c r="C68" s="1005"/>
      <c r="D68" s="1007"/>
      <c r="E68" s="1009"/>
      <c r="F68" s="1011"/>
      <c r="G68" s="303">
        <f>'Звіт  7,8'!F13/1000</f>
        <v>306.82857000000001</v>
      </c>
      <c r="H68" s="304">
        <f>'Звіт  7,8'!K20</f>
        <v>15</v>
      </c>
      <c r="I68" s="305"/>
      <c r="J68" s="305"/>
      <c r="K68" s="307"/>
      <c r="L68" s="262"/>
      <c r="M68" s="262"/>
      <c r="N68" s="262"/>
      <c r="O68" s="262"/>
    </row>
    <row r="69" spans="2:20" ht="62.1" customHeight="1" x14ac:dyDescent="0.25">
      <c r="B69" s="1002" t="s">
        <v>533</v>
      </c>
      <c r="C69" s="1004" t="s">
        <v>860</v>
      </c>
      <c r="D69" s="1006" t="s">
        <v>417</v>
      </c>
      <c r="E69" s="1008" t="s">
        <v>424</v>
      </c>
      <c r="F69" s="1010" t="b">
        <f>IF('Звіт   4,5,6'!E36=0,"Дані не введено",IF(OR(AND(G70&gt;0,J70&gt;0)),TRUE,IF(AND(H70&gt;0,J70&gt;0),TRUE,IF(AND(I70&gt;0,J70&gt;0),TRUE,IF(AND(G70=0,H70=0,I70=0,J70=0),TRUE,FALSE)))))</f>
        <v>1</v>
      </c>
      <c r="G69" s="795" t="s">
        <v>488</v>
      </c>
      <c r="H69" s="795" t="s">
        <v>859</v>
      </c>
      <c r="I69" s="795" t="s">
        <v>717</v>
      </c>
      <c r="J69" s="796" t="s">
        <v>490</v>
      </c>
      <c r="K69" s="307"/>
      <c r="L69" s="262"/>
      <c r="M69" s="262"/>
      <c r="N69" s="262"/>
      <c r="O69" s="262"/>
    </row>
    <row r="70" spans="2:20" ht="27" customHeight="1" thickBot="1" x14ac:dyDescent="0.3">
      <c r="B70" s="1003"/>
      <c r="C70" s="1005"/>
      <c r="D70" s="1007"/>
      <c r="E70" s="1009"/>
      <c r="F70" s="1011"/>
      <c r="G70" s="303">
        <f>'Звіт  7,8'!J14/1000</f>
        <v>361.54194000000001</v>
      </c>
      <c r="H70" s="303">
        <f>'Звіт  7,8'!N14/1000</f>
        <v>0</v>
      </c>
      <c r="I70" s="303">
        <f>'Звіт  7,8'!L14/1000</f>
        <v>0</v>
      </c>
      <c r="J70" s="304">
        <f>'Звіт  7,8'!L20</f>
        <v>16</v>
      </c>
      <c r="K70" s="307"/>
      <c r="L70" s="262"/>
      <c r="M70" s="262"/>
      <c r="N70" s="262"/>
      <c r="O70" s="262"/>
    </row>
    <row r="71" spans="2:20" ht="67.7" customHeight="1" x14ac:dyDescent="0.25">
      <c r="B71" s="1002" t="s">
        <v>534</v>
      </c>
      <c r="C71" s="1004" t="s">
        <v>861</v>
      </c>
      <c r="D71" s="1006" t="s">
        <v>417</v>
      </c>
      <c r="E71" s="1008" t="s">
        <v>424</v>
      </c>
      <c r="F71" s="1010" t="b">
        <f>IF('Звіт   4,5,6'!E36=0,"Дані не введено",IF(OR(AND(G72&gt;0,J72&gt;0)),TRUE,IF(AND(H72&gt;0,J72&gt;0),TRUE,IF(AND(I72&gt;0,J72&gt;0),TRUE,IF(AND(G72=0,H72=0,I72=0,J72=0),TRUE,FALSE)))))</f>
        <v>1</v>
      </c>
      <c r="G71" s="795" t="s">
        <v>716</v>
      </c>
      <c r="H71" s="795" t="s">
        <v>859</v>
      </c>
      <c r="I71" s="795" t="s">
        <v>717</v>
      </c>
      <c r="J71" s="796" t="s">
        <v>489</v>
      </c>
      <c r="K71" s="307"/>
      <c r="L71" s="262"/>
      <c r="M71" s="262"/>
      <c r="N71" s="262"/>
      <c r="O71" s="262"/>
    </row>
    <row r="72" spans="2:20" ht="25.35" customHeight="1" thickBot="1" x14ac:dyDescent="0.3">
      <c r="B72" s="1003"/>
      <c r="C72" s="1005"/>
      <c r="D72" s="1007"/>
      <c r="E72" s="1009"/>
      <c r="F72" s="1011"/>
      <c r="G72" s="303">
        <f>'Звіт  7,8'!H14/1000</f>
        <v>356.66066999999998</v>
      </c>
      <c r="H72" s="303">
        <f>'Звіт  7,8'!N14/1000</f>
        <v>0</v>
      </c>
      <c r="I72" s="303">
        <f>'Звіт  7,8'!L14/1000</f>
        <v>0</v>
      </c>
      <c r="J72" s="304">
        <f>'Звіт  7,8'!M20</f>
        <v>1</v>
      </c>
      <c r="K72" s="307"/>
      <c r="L72" s="262"/>
      <c r="M72" s="262"/>
      <c r="N72" s="262"/>
      <c r="O72" s="262"/>
    </row>
    <row r="73" spans="2:20" ht="50.1" customHeight="1" x14ac:dyDescent="0.25">
      <c r="B73" s="1002" t="s">
        <v>535</v>
      </c>
      <c r="C73" s="1004" t="s">
        <v>492</v>
      </c>
      <c r="D73" s="1006" t="s">
        <v>417</v>
      </c>
      <c r="E73" s="1008" t="s">
        <v>424</v>
      </c>
      <c r="F73" s="1010" t="b">
        <f>IF('Звіт   4,5,6'!E36=0,"Дані не введено",IF(G74&gt;=50,H74&gt;0,TRUE))</f>
        <v>1</v>
      </c>
      <c r="G73" s="795" t="s">
        <v>491</v>
      </c>
      <c r="H73" s="795" t="s">
        <v>493</v>
      </c>
      <c r="I73" s="308"/>
      <c r="J73" s="305"/>
      <c r="K73" s="307"/>
      <c r="L73" s="262"/>
      <c r="M73" s="262"/>
      <c r="N73" s="262"/>
      <c r="O73" s="262"/>
    </row>
    <row r="74" spans="2:20" ht="30" customHeight="1" thickBot="1" x14ac:dyDescent="0.3">
      <c r="B74" s="1003"/>
      <c r="C74" s="1005"/>
      <c r="D74" s="1007"/>
      <c r="E74" s="1009"/>
      <c r="F74" s="1011"/>
      <c r="G74" s="303">
        <f>'Звіт  7,8'!E20</f>
        <v>80</v>
      </c>
      <c r="H74" s="303">
        <f>'Звіт  7,8'!N20</f>
        <v>75393</v>
      </c>
      <c r="I74" s="309"/>
      <c r="J74" s="310"/>
      <c r="K74" s="311"/>
      <c r="L74" s="262"/>
      <c r="M74" s="262"/>
      <c r="N74" s="262"/>
      <c r="O74" s="262"/>
    </row>
    <row r="75" spans="2:20" ht="57.6" customHeight="1" thickBot="1" x14ac:dyDescent="0.3">
      <c r="B75" s="274" t="s">
        <v>547</v>
      </c>
      <c r="C75" s="321" t="s">
        <v>674</v>
      </c>
      <c r="D75" s="194" t="s">
        <v>417</v>
      </c>
      <c r="E75" s="214" t="s">
        <v>418</v>
      </c>
      <c r="F75" s="322" t="b">
        <f>IF('Звіт   4,5,6'!E36=0,"Дані не введено",IF((('Звіт   4,5,6'!H20+'Звіт   4,5,6'!H21+'Звіт 10, 11,12,13,14'!J31)/1000)&lt;=('Звіт   4,5,6'!G96/1000),TRUE,FALSE))</f>
        <v>1</v>
      </c>
      <c r="G75" s="371" t="b">
        <f>IF(AND(G78=I78,H78=J78,K78=L78,M78=N78,O78=0),TRUE,FALSE)</f>
        <v>1</v>
      </c>
      <c r="H75" s="371"/>
      <c r="K75" s="709"/>
      <c r="L75" s="245"/>
      <c r="M75" s="262"/>
      <c r="N75" s="262"/>
      <c r="O75" s="262"/>
    </row>
    <row r="76" spans="2:20" ht="56.45" customHeight="1" thickBot="1" x14ac:dyDescent="0.3">
      <c r="B76" s="29"/>
      <c r="C76" s="219" t="s">
        <v>440</v>
      </c>
      <c r="G76" s="955" t="s">
        <v>759</v>
      </c>
      <c r="H76" s="956"/>
      <c r="I76" s="956"/>
      <c r="J76" s="957"/>
      <c r="K76" s="958" t="s">
        <v>830</v>
      </c>
      <c r="L76" s="959"/>
      <c r="M76" s="958" t="s">
        <v>820</v>
      </c>
      <c r="N76" s="959"/>
      <c r="O76" s="716" t="s">
        <v>766</v>
      </c>
    </row>
    <row r="77" spans="2:20" ht="100.35" customHeight="1" thickBot="1" x14ac:dyDescent="0.3">
      <c r="B77" s="993" t="s">
        <v>536</v>
      </c>
      <c r="C77" s="614" t="s">
        <v>850</v>
      </c>
      <c r="D77" s="977" t="s">
        <v>417</v>
      </c>
      <c r="E77" s="988" t="s">
        <v>424</v>
      </c>
      <c r="F77" s="975" t="b">
        <f>IF('Звіт   4,5,6'!E36=0,"Дані не введено",IF(OR(F28=FALSE,F25=FALSE,G75=FALSE,K78&lt;0,M78&lt;0),FALSE,IF(AND(G78&gt;0,'Звіт   4,5,6'!H20=0),FALSE,TRUE)))</f>
        <v>1</v>
      </c>
      <c r="G77" s="714" t="s">
        <v>754</v>
      </c>
      <c r="H77" s="217" t="s">
        <v>755</v>
      </c>
      <c r="I77" s="217" t="s">
        <v>768</v>
      </c>
      <c r="J77" s="218" t="s">
        <v>769</v>
      </c>
      <c r="K77" s="626" t="s">
        <v>753</v>
      </c>
      <c r="L77" s="628" t="s">
        <v>762</v>
      </c>
      <c r="M77" s="714" t="s">
        <v>574</v>
      </c>
      <c r="N77" s="628" t="s">
        <v>763</v>
      </c>
      <c r="O77" s="773" t="s">
        <v>767</v>
      </c>
      <c r="P77" s="349"/>
    </row>
    <row r="78" spans="2:20" ht="72" customHeight="1" thickBot="1" x14ac:dyDescent="0.3">
      <c r="B78" s="994"/>
      <c r="C78" s="751" t="s">
        <v>816</v>
      </c>
      <c r="D78" s="978"/>
      <c r="E78" s="989"/>
      <c r="F78" s="976"/>
      <c r="G78" s="713">
        <f>ROUND('Звіт   9'!G79,1)</f>
        <v>3155.3</v>
      </c>
      <c r="H78" s="212">
        <f>ROUND('Звіт   9'!J79,1)</f>
        <v>2983.7</v>
      </c>
      <c r="I78" s="212">
        <f>ROUND('Звіт 10, 11,12,13,14'!F28/1000,1)</f>
        <v>3155.3</v>
      </c>
      <c r="J78" s="708">
        <f>ROUND('Звіт 10, 11,12,13,14'!I28/1000,1)</f>
        <v>2983.7</v>
      </c>
      <c r="K78" s="713">
        <f>ROUND(('Звіт   4,5,6'!H20+'Звіт 10, 11,12,13,14'!W26)/1000,1)</f>
        <v>171.6</v>
      </c>
      <c r="L78" s="708">
        <f>ROUND(('Звіт 10, 11,12,13,14'!F42)/1000,1)</f>
        <v>171.6</v>
      </c>
      <c r="M78" s="710">
        <f>ROUND((H78-G78+K78),1)</f>
        <v>0</v>
      </c>
      <c r="N78" s="711">
        <f>ROUND('Звіт 10, 11,12,13,14'!L42/1000,1)</f>
        <v>0</v>
      </c>
      <c r="O78" s="715">
        <f>'Звіт 10, 11,12,13,14'!J42+'Звіт 10, 11,12,13,14'!K42+'Звіт 10, 11,12,13,14'!N42</f>
        <v>0</v>
      </c>
      <c r="P78" s="371"/>
      <c r="T78" s="716" t="s">
        <v>832</v>
      </c>
    </row>
    <row r="79" spans="2:20" ht="109.7" customHeight="1" x14ac:dyDescent="0.25">
      <c r="B79" s="995" t="s">
        <v>537</v>
      </c>
      <c r="C79" s="997" t="s">
        <v>760</v>
      </c>
      <c r="D79" s="999" t="s">
        <v>417</v>
      </c>
      <c r="E79" s="1000" t="s">
        <v>424</v>
      </c>
      <c r="F79" s="1001" t="b">
        <f>IF('Звіт   4,5,6'!E36=0,"Дані не введено",IF(OR(F77=FALSE,F75=FALSE,J81=FALSE),FALSE,IF(OR(M80&lt;0,P80&lt;0,S80&lt;0,K80&lt;0),FALSE,IF(AND(G80&gt;0,'Звіт   4,5,6'!H21=0),FALSE,TRUE))))</f>
        <v>1</v>
      </c>
      <c r="G79" s="769" t="s">
        <v>823</v>
      </c>
      <c r="H79" s="770" t="s">
        <v>824</v>
      </c>
      <c r="I79" s="623" t="s">
        <v>822</v>
      </c>
      <c r="J79" s="622" t="s">
        <v>825</v>
      </c>
      <c r="K79" s="712" t="s">
        <v>826</v>
      </c>
      <c r="L79" s="628" t="s">
        <v>827</v>
      </c>
      <c r="M79" s="768" t="s">
        <v>833</v>
      </c>
      <c r="N79" s="628" t="s">
        <v>828</v>
      </c>
      <c r="O79" s="769" t="s">
        <v>821</v>
      </c>
      <c r="P79" s="623" t="s">
        <v>831</v>
      </c>
      <c r="Q79" s="623" t="s">
        <v>817</v>
      </c>
      <c r="R79" s="623" t="s">
        <v>818</v>
      </c>
      <c r="S79" s="622" t="s">
        <v>829</v>
      </c>
      <c r="T79" s="774" t="s">
        <v>767</v>
      </c>
    </row>
    <row r="80" spans="2:20" ht="40.35" customHeight="1" thickBot="1" x14ac:dyDescent="0.3">
      <c r="B80" s="996"/>
      <c r="C80" s="998"/>
      <c r="D80" s="999"/>
      <c r="E80" s="1000"/>
      <c r="F80" s="1001"/>
      <c r="G80" s="778">
        <f>ROUND('Звіт   9'!G48,1)</f>
        <v>2990.8</v>
      </c>
      <c r="H80" s="779">
        <f>ROUND('Звіт   9'!J48,1)</f>
        <v>2844.6</v>
      </c>
      <c r="I80" s="212">
        <f>ROUND('Звіт 10, 11,12,13,14'!F26/1000,1)</f>
        <v>2990.8</v>
      </c>
      <c r="J80" s="708">
        <f>ROUND('Звіт 10, 11,12,13,14'!I26/1000,1)</f>
        <v>2844.6</v>
      </c>
      <c r="K80" s="778">
        <f>ROUND(('Звіт   4,5,6'!H21+'Звіт 10, 11,12,13,14'!W27)/1000,1)</f>
        <v>146.19999999999999</v>
      </c>
      <c r="L80" s="708">
        <f>ROUND('Звіт 10, 11,12,13,14'!F39/1000,1)</f>
        <v>146.19999999999999</v>
      </c>
      <c r="M80" s="777">
        <f>H80+K80-G80</f>
        <v>0</v>
      </c>
      <c r="N80" s="771">
        <f>ROUND('Звіт 10, 11,12,13,14'!L39/1000,1)</f>
        <v>0</v>
      </c>
      <c r="O80" s="729">
        <f>ROUND(('Звіт 1,2,3'!I19+'Звіт 1,2,3'!J19+'Звіт 1,2,3'!K19+'Звіт 1,2,3'!L19+'Звіт 1,2,3'!M19+'Звіт 1,2,3'!N19)/1000,1)</f>
        <v>1339.9</v>
      </c>
      <c r="P80" s="776">
        <f>O80-M80</f>
        <v>1339.9</v>
      </c>
      <c r="Q80" s="212">
        <f>ROUND('Звіт   9'!G59,1)</f>
        <v>175.2</v>
      </c>
      <c r="R80" s="212">
        <f>ROUND('Звіт   9'!J59,1)</f>
        <v>290.60000000000002</v>
      </c>
      <c r="S80" s="775">
        <f>Q80-R80+P80</f>
        <v>1224.5</v>
      </c>
      <c r="T80" s="286">
        <f>'Звіт 10, 11,12,13,14'!J39+'Звіт 10, 11,12,13,14'!K39+'Звіт 10, 11,12,13,14'!N39</f>
        <v>0</v>
      </c>
    </row>
    <row r="81" spans="2:20" s="193" customFormat="1" ht="84.6" customHeight="1" x14ac:dyDescent="0.25">
      <c r="B81" s="984" t="s">
        <v>538</v>
      </c>
      <c r="C81" s="986" t="s">
        <v>864</v>
      </c>
      <c r="D81" s="977" t="s">
        <v>417</v>
      </c>
      <c r="E81" s="988" t="s">
        <v>424</v>
      </c>
      <c r="F81" s="990" t="b">
        <f>IF('Звіт   4,5,6'!E36=0,"Дані не введено",IF(OR(H82&lt;=0,G82&lt;=0,I82&lt;&gt;0),FALSE,IF(OR(F79=FALSE,F77=FALSE),FALSE,TRUE)))</f>
        <v>1</v>
      </c>
      <c r="G81" s="694" t="s">
        <v>865</v>
      </c>
      <c r="H81" s="248" t="s">
        <v>751</v>
      </c>
      <c r="I81" s="242" t="s">
        <v>423</v>
      </c>
      <c r="J81" s="245" t="b">
        <f>IF(AND(G80=I80,H80=J80,K80=L80,M80=N80,T80=0),TRUE,FALSE)</f>
        <v>1</v>
      </c>
      <c r="K81" s="992"/>
      <c r="L81" s="992"/>
      <c r="M81" s="992"/>
      <c r="N81" s="428"/>
      <c r="O81" s="428"/>
      <c r="Q81" s="315"/>
      <c r="T81" s="193">
        <v>0</v>
      </c>
    </row>
    <row r="82" spans="2:20" s="193" customFormat="1" ht="28.35" customHeight="1" thickBot="1" x14ac:dyDescent="0.3">
      <c r="B82" s="985"/>
      <c r="C82" s="987"/>
      <c r="D82" s="978"/>
      <c r="E82" s="989"/>
      <c r="F82" s="991"/>
      <c r="G82" s="212">
        <f>ROUND('Звіт   4,5,6'!H15/1000,1)</f>
        <v>1224.5</v>
      </c>
      <c r="H82" s="613">
        <f>S80-M78 - ROUND('Звіт 10, 11,12,13,14'!W25/1000,1)</f>
        <v>1224.5</v>
      </c>
      <c r="I82" s="772">
        <f>G82-H82</f>
        <v>0</v>
      </c>
      <c r="J82" s="266"/>
      <c r="K82" s="245"/>
      <c r="L82" s="348"/>
      <c r="M82" s="349"/>
      <c r="N82" s="349"/>
      <c r="O82" s="349"/>
    </row>
    <row r="83" spans="2:20" ht="91.35" customHeight="1" x14ac:dyDescent="0.25">
      <c r="B83" s="961" t="s">
        <v>539</v>
      </c>
      <c r="C83" s="963" t="s">
        <v>750</v>
      </c>
      <c r="D83" s="977" t="s">
        <v>417</v>
      </c>
      <c r="E83" s="979" t="s">
        <v>424</v>
      </c>
      <c r="F83" s="969" t="b">
        <f>IF('Звіт   4,5,6'!E36=0,"Дані не введено",IF(F81=TRUE,TRUE,IF(AND(G84=H84,M84&gt;=0,IF(G84&gt;0,H84&gt;0)),TRUE,FALSE)))</f>
        <v>1</v>
      </c>
      <c r="G83" s="700" t="s">
        <v>746</v>
      </c>
      <c r="H83" s="623" t="s">
        <v>745</v>
      </c>
      <c r="I83" s="701" t="s">
        <v>747</v>
      </c>
      <c r="J83" s="704" t="s">
        <v>748</v>
      </c>
      <c r="K83" s="697" t="s">
        <v>842</v>
      </c>
      <c r="L83" s="623" t="s">
        <v>749</v>
      </c>
      <c r="M83" s="701" t="s">
        <v>843</v>
      </c>
      <c r="N83" s="245"/>
      <c r="O83" s="245"/>
    </row>
    <row r="84" spans="2:20" ht="43.7" customHeight="1" thickBot="1" x14ac:dyDescent="0.3">
      <c r="B84" s="971"/>
      <c r="C84" s="972"/>
      <c r="D84" s="978"/>
      <c r="E84" s="980"/>
      <c r="F84" s="981"/>
      <c r="G84" s="702">
        <f>ROUND('Звіт   4,5,6'!M35/1000,1)</f>
        <v>1224.5</v>
      </c>
      <c r="H84" s="698">
        <f>ROUND('Звіт   4,5,6'!H15/1000,1)</f>
        <v>1224.5</v>
      </c>
      <c r="I84" s="703">
        <f>G84-H84</f>
        <v>0</v>
      </c>
      <c r="J84" s="705">
        <f>'Звіт   9'!G60</f>
        <v>175.2</v>
      </c>
      <c r="K84" s="699">
        <f>ROUND(('Звіт 1,2,3'!I28+'Звіт 1,2,3'!J28+'Звіт 1,2,3'!K28+'Звіт 1,2,3'!L28+'Звіт 1,2,3'!M28+'Звіт 1,2,3'!N28)/1000,1)</f>
        <v>256.89999999999998</v>
      </c>
      <c r="L84" s="699">
        <f>ROUND(('Звіт   4,5,6'!M40+'Звіт   4,5,6'!M46+'Звіт   4,5,6'!M47+'Звіт   4,5,6'!M48+'Звіт   4,5,6'!M49+'Звіт   4,5,6'!M51+'Звіт   4,5,6'!M52+'Звіт   4,5,6'!M53+'Звіт   4,5,6'!M61)/1000,1)</f>
        <v>146.6</v>
      </c>
      <c r="M84" s="703">
        <f>(J84+K84)-L84</f>
        <v>285.5</v>
      </c>
      <c r="N84" s="695"/>
      <c r="O84" s="695"/>
      <c r="P84" s="695"/>
    </row>
    <row r="85" spans="2:20" ht="42" customHeight="1" thickBot="1" x14ac:dyDescent="0.3">
      <c r="B85" s="982" t="s">
        <v>555</v>
      </c>
      <c r="C85" s="983"/>
      <c r="D85" s="983"/>
      <c r="E85" s="983"/>
      <c r="F85" s="983"/>
      <c r="G85" s="351" t="b">
        <f>IF(AND(J88&gt;0,K88&gt;0,K88&gt;=J88/I85,K88&lt;=J88),TRUE,FALSE)</f>
        <v>1</v>
      </c>
      <c r="H85" s="351" t="b">
        <f>IF(AND(J92&gt;0,K92&gt;0,K92&gt;=J92/4,K92&lt;=J92),TRUE,FALSE)</f>
        <v>1</v>
      </c>
      <c r="I85" s="266">
        <f>100/45</f>
        <v>2.2222222222222223</v>
      </c>
      <c r="J85" s="245"/>
      <c r="K85" s="245"/>
      <c r="L85" s="339"/>
      <c r="M85" s="954"/>
      <c r="N85" s="954"/>
      <c r="O85" s="954"/>
      <c r="P85" s="954"/>
    </row>
    <row r="86" spans="2:20" ht="30" customHeight="1" thickBot="1" x14ac:dyDescent="0.3">
      <c r="B86" s="591"/>
      <c r="C86" s="591"/>
      <c r="D86" s="591"/>
      <c r="E86" s="591"/>
      <c r="F86" s="591"/>
      <c r="G86" s="1083" t="s">
        <v>719</v>
      </c>
      <c r="H86" s="1081"/>
      <c r="I86" s="1082"/>
      <c r="J86" s="1080" t="s">
        <v>720</v>
      </c>
      <c r="K86" s="1081"/>
      <c r="L86" s="1082"/>
      <c r="M86" s="245"/>
      <c r="N86" s="245"/>
      <c r="O86" s="245"/>
    </row>
    <row r="87" spans="2:20" ht="87" customHeight="1" x14ac:dyDescent="0.25">
      <c r="B87" s="961" t="s">
        <v>553</v>
      </c>
      <c r="C87" s="963" t="s">
        <v>856</v>
      </c>
      <c r="D87" s="965" t="s">
        <v>585</v>
      </c>
      <c r="E87" s="967" t="s">
        <v>424</v>
      </c>
      <c r="F87" s="969" t="b">
        <f>IF('Звіт   4,5,6'!E36=0,"Дані не введено",IF(G85=FALSE,FALSE,IF(AND(G88&gt;0,H88&gt;0,H88&gt;=G88/I85,H88&lt;=G88),TRUE,FALSE)))</f>
        <v>1</v>
      </c>
      <c r="G87" s="783" t="s">
        <v>740</v>
      </c>
      <c r="H87" s="248" t="s">
        <v>738</v>
      </c>
      <c r="I87" s="691" t="s">
        <v>721</v>
      </c>
      <c r="J87" s="781" t="s">
        <v>741</v>
      </c>
      <c r="K87" s="248" t="s">
        <v>739</v>
      </c>
      <c r="L87" s="242" t="s">
        <v>721</v>
      </c>
      <c r="O87" s="245"/>
    </row>
    <row r="88" spans="2:20" ht="42" customHeight="1" thickBot="1" x14ac:dyDescent="0.3">
      <c r="B88" s="962"/>
      <c r="C88" s="964"/>
      <c r="D88" s="966"/>
      <c r="E88" s="968"/>
      <c r="F88" s="970"/>
      <c r="G88" s="784">
        <f>'Звіт   9'!G9+'Звіт   9'!G13</f>
        <v>6147.2000000000007</v>
      </c>
      <c r="H88" s="615">
        <f>'Звіт   9'!G47+'Звіт   9'!G48+'Звіт   9'!G79</f>
        <v>6146.1</v>
      </c>
      <c r="I88" s="423">
        <f>H88*100/G88</f>
        <v>99.98210567412805</v>
      </c>
      <c r="J88" s="365">
        <f>'Звіт   9'!J9+'Звіт   9'!J13</f>
        <v>5829.3000000000011</v>
      </c>
      <c r="K88" s="353">
        <f>'Звіт   9'!J47+'Звіт   9'!J48+'Звіт   9'!J79</f>
        <v>5828.3</v>
      </c>
      <c r="L88" s="423">
        <f>K88*100/J88</f>
        <v>99.982845281594678</v>
      </c>
      <c r="O88" s="245"/>
    </row>
    <row r="89" spans="2:20" s="211" customFormat="1" ht="105.6" customHeight="1" x14ac:dyDescent="0.25">
      <c r="B89" s="961" t="s">
        <v>728</v>
      </c>
      <c r="C89" s="963" t="s">
        <v>853</v>
      </c>
      <c r="D89" s="967" t="s">
        <v>417</v>
      </c>
      <c r="E89" s="967" t="s">
        <v>424</v>
      </c>
      <c r="F89" s="969" t="b">
        <f>IF('Звіт   4,5,6'!E36=0,"Дані не введено",IF(AND(I90=0,L90=0),TRUE,FALSE))</f>
        <v>1</v>
      </c>
      <c r="G89" s="783" t="s">
        <v>736</v>
      </c>
      <c r="H89" s="248" t="s">
        <v>734</v>
      </c>
      <c r="I89" s="691" t="s">
        <v>722</v>
      </c>
      <c r="J89" s="781" t="s">
        <v>737</v>
      </c>
      <c r="K89" s="248" t="s">
        <v>735</v>
      </c>
      <c r="L89" s="691" t="s">
        <v>722</v>
      </c>
      <c r="M89" s="428"/>
      <c r="N89" s="428"/>
      <c r="O89" s="245"/>
    </row>
    <row r="90" spans="2:20" s="211" customFormat="1" ht="34.700000000000003" customHeight="1" thickBot="1" x14ac:dyDescent="0.3">
      <c r="B90" s="971"/>
      <c r="C90" s="972"/>
      <c r="D90" s="974"/>
      <c r="E90" s="974"/>
      <c r="F90" s="981"/>
      <c r="G90" s="713">
        <f>'Звіт 10, 11,12,13,14'!F13+'Звіт 10, 11,12,13,14'!F18+'Звіт 10, 11,12,13,14'!G11-'Звіт 10, 11,12,13,14'!G12+'Звіт 10, 11,12,13,14'!H11-'Звіт 10, 11,12,13,14'!H12+'Звіт 10, 11,12,13,14'!G16-'Звіт 10, 11,12,13,14'!G17+'Звіт 10, 11,12,13,14'!H16-'Звіт 10, 11,12,13,14'!H17</f>
        <v>6146134</v>
      </c>
      <c r="H90" s="212">
        <f>'Звіт 10, 11,12,13,14'!F25+'Звіт 10, 11,12,13,14'!F26+'Звіт 10, 11,12,13,14'!F28</f>
        <v>6146134</v>
      </c>
      <c r="I90" s="692">
        <f>H90-G90</f>
        <v>0</v>
      </c>
      <c r="J90" s="352">
        <f>'Звіт 10, 11,12,13,14'!U13+'Звіт 10, 11,12,13,14'!U18+'Звіт 10, 11,12,13,14'!V11-'Звіт 10, 11,12,13,14'!V12+'Звіт 10, 11,12,13,14'!W11-'Звіт 10, 11,12,13,14'!W12+'Звіт 10, 11,12,13,14'!V16-'Звіт 10, 11,12,13,14'!V17+'Звіт 10, 11,12,13,14'!W16-'Звіт 10, 11,12,13,14'!W17</f>
        <v>5828309</v>
      </c>
      <c r="K90" s="212">
        <f>'Звіт 10, 11,12,13,14'!I25+'Звіт 10, 11,12,13,14'!I26+'Звіт 10, 11,12,13,14'!I28</f>
        <v>5828309</v>
      </c>
      <c r="L90" s="692">
        <f>K90-J90</f>
        <v>0</v>
      </c>
      <c r="N90" s="428"/>
      <c r="O90" s="245"/>
    </row>
    <row r="91" spans="2:20" ht="78" customHeight="1" x14ac:dyDescent="0.25">
      <c r="B91" s="961" t="s">
        <v>554</v>
      </c>
      <c r="C91" s="963" t="s">
        <v>857</v>
      </c>
      <c r="D91" s="965" t="s">
        <v>585</v>
      </c>
      <c r="E91" s="967" t="s">
        <v>424</v>
      </c>
      <c r="F91" s="975" t="b">
        <f>IF('Звіт   4,5,6'!E36=0,"Дані не введено",IF(H85=FALSE,FALSE,IF(AND(G92&gt;0,H92&gt;0,H92&gt;=G92/4,H92&lt;=G92),TRUE,FALSE)))</f>
        <v>1</v>
      </c>
      <c r="G91" s="783" t="s">
        <v>724</v>
      </c>
      <c r="H91" s="248" t="s">
        <v>726</v>
      </c>
      <c r="I91" s="691" t="s">
        <v>721</v>
      </c>
      <c r="J91" s="781" t="s">
        <v>725</v>
      </c>
      <c r="K91" s="248" t="s">
        <v>727</v>
      </c>
      <c r="L91" s="691" t="s">
        <v>721</v>
      </c>
      <c r="M91" s="254"/>
      <c r="N91" s="254"/>
      <c r="O91" s="245"/>
    </row>
    <row r="92" spans="2:20" ht="34.700000000000003" customHeight="1" thickBot="1" x14ac:dyDescent="0.3">
      <c r="B92" s="971"/>
      <c r="C92" s="972"/>
      <c r="D92" s="973"/>
      <c r="E92" s="974"/>
      <c r="F92" s="976"/>
      <c r="G92" s="729">
        <f>'Звіт   9'!G12+'Звіт   9'!G26</f>
        <v>257.7</v>
      </c>
      <c r="H92" s="613">
        <f>'Звіт   9'!G60+'Звіт   9'!G61</f>
        <v>175.2</v>
      </c>
      <c r="I92" s="692">
        <f>H92*100/G92</f>
        <v>67.986030267753208</v>
      </c>
      <c r="J92" s="782">
        <f>'Звіт   9'!J12+'Звіт   9'!J26</f>
        <v>361.7</v>
      </c>
      <c r="K92" s="613">
        <f>'Звіт   9'!J60+'Звіт   9'!J61</f>
        <v>290.60000000000002</v>
      </c>
      <c r="L92" s="692">
        <f>K92*100/J92</f>
        <v>80.342825546032643</v>
      </c>
      <c r="M92" s="245"/>
      <c r="N92" s="339"/>
      <c r="O92" s="245"/>
    </row>
    <row r="93" spans="2:20" ht="84" customHeight="1" thickBot="1" x14ac:dyDescent="0.3">
      <c r="B93" s="961" t="s">
        <v>729</v>
      </c>
      <c r="C93" s="963" t="s">
        <v>742</v>
      </c>
      <c r="D93" s="967" t="s">
        <v>417</v>
      </c>
      <c r="E93" s="967" t="s">
        <v>424</v>
      </c>
      <c r="F93" s="975" t="b">
        <f>IF('Звіт   4,5,6'!E36=0,"Дані не введено",IF(OR(F91=FALSE,M94=FALSE,N94=FALSE),FALSE,IF(AND(I94&lt;=1,I94&gt;=-1,L94&lt;=1,L94&gt;=-1),TRUE,FALSE)))</f>
        <v>1</v>
      </c>
      <c r="G93" s="783" t="s">
        <v>723</v>
      </c>
      <c r="H93" s="248" t="str">
        <f>H91</f>
        <v>Баланс Пасив Таблиця 9
Цільове фінансування на початок періоду в частині залишків запасів та незавершених капітальних інвестицій</v>
      </c>
      <c r="I93" s="691" t="s">
        <v>722</v>
      </c>
      <c r="J93" s="781" t="s">
        <v>858</v>
      </c>
      <c r="K93" s="248" t="str">
        <f>K91</f>
        <v>Баланс Пасив Таблиця 9
Цільове фінансування на кінець періоду в частині залишків запасів та незавершених капітальних інвестицій</v>
      </c>
      <c r="L93" s="691" t="s">
        <v>722</v>
      </c>
      <c r="M93" s="780" t="s">
        <v>791</v>
      </c>
      <c r="N93" s="280" t="s">
        <v>792</v>
      </c>
      <c r="O93" s="245"/>
    </row>
    <row r="94" spans="2:20" ht="28.35" customHeight="1" thickBot="1" x14ac:dyDescent="0.3">
      <c r="B94" s="971"/>
      <c r="C94" s="972"/>
      <c r="D94" s="974"/>
      <c r="E94" s="974"/>
      <c r="F94" s="976"/>
      <c r="G94" s="713">
        <f>ROUND(('Звіт 10, 11,12,13,14'!H14+'Звіт 10, 11,12,13,14'!H19)/1000,1)</f>
        <v>175.2</v>
      </c>
      <c r="H94" s="613">
        <f>H92</f>
        <v>175.2</v>
      </c>
      <c r="I94" s="692">
        <f>H94-G94</f>
        <v>0</v>
      </c>
      <c r="J94" s="352">
        <f>ROUND(('Звіт 10, 11,12,13,14'!W14+'Звіт 10, 11,12,13,14'!W19)/1000,1)</f>
        <v>290.60000000000002</v>
      </c>
      <c r="K94" s="613">
        <f>K92</f>
        <v>290.60000000000002</v>
      </c>
      <c r="L94" s="692">
        <f>K94-J94</f>
        <v>0</v>
      </c>
      <c r="M94" s="322" t="b">
        <f>'Звіт 10, 11,12,13,14'!AA14</f>
        <v>1</v>
      </c>
      <c r="N94" s="322" t="b">
        <f>'Звіт 10, 11,12,13,14'!AA19</f>
        <v>1</v>
      </c>
      <c r="O94" s="245"/>
    </row>
    <row r="95" spans="2:20" ht="41.45" hidden="1" customHeight="1" x14ac:dyDescent="0.25">
      <c r="B95" s="360" t="s">
        <v>540</v>
      </c>
      <c r="C95" s="361" t="s">
        <v>501</v>
      </c>
      <c r="D95" s="362" t="s">
        <v>502</v>
      </c>
      <c r="E95" s="363"/>
      <c r="F95" s="364">
        <f>O80</f>
        <v>1339.9</v>
      </c>
      <c r="H95" s="205"/>
      <c r="I95" s="205"/>
      <c r="J95" s="245"/>
      <c r="K95" s="265"/>
      <c r="L95" s="57"/>
    </row>
    <row r="96" spans="2:20" ht="37.700000000000003" hidden="1" customHeight="1" x14ac:dyDescent="0.25">
      <c r="B96" s="350" t="s">
        <v>541</v>
      </c>
      <c r="C96" s="323" t="s">
        <v>752</v>
      </c>
      <c r="D96" s="324" t="s">
        <v>502</v>
      </c>
      <c r="E96" s="316"/>
      <c r="F96" s="326">
        <f>H84</f>
        <v>1224.5</v>
      </c>
      <c r="K96" s="265"/>
      <c r="L96" s="57"/>
    </row>
    <row r="97" spans="1:19" ht="37.700000000000003" hidden="1" customHeight="1" x14ac:dyDescent="0.25">
      <c r="B97" s="350" t="s">
        <v>542</v>
      </c>
      <c r="C97" s="323" t="s">
        <v>718</v>
      </c>
      <c r="D97" s="324" t="s">
        <v>502</v>
      </c>
      <c r="E97" s="316"/>
      <c r="F97" s="325">
        <f>G84</f>
        <v>1224.5</v>
      </c>
      <c r="K97" s="265"/>
      <c r="L97" s="57"/>
    </row>
    <row r="98" spans="1:19" ht="23.25" customHeight="1" x14ac:dyDescent="0.25">
      <c r="B98" s="372"/>
      <c r="D98" s="203"/>
      <c r="E98" s="204"/>
      <c r="F98" s="205"/>
      <c r="G98" s="245"/>
      <c r="H98" s="245"/>
      <c r="I98" s="245"/>
      <c r="J98" s="245"/>
      <c r="K98" s="267"/>
      <c r="L98" s="36"/>
    </row>
    <row r="99" spans="1:19" ht="23.25" customHeight="1" x14ac:dyDescent="0.25">
      <c r="B99" s="372"/>
      <c r="D99" s="203"/>
      <c r="E99" s="204"/>
      <c r="F99" s="205"/>
      <c r="G99" s="245"/>
      <c r="H99" s="245"/>
      <c r="I99" s="245"/>
      <c r="J99" s="245"/>
      <c r="K99" s="267"/>
      <c r="L99" s="36"/>
    </row>
    <row r="100" spans="1:19" ht="23.25" customHeight="1" x14ac:dyDescent="0.25">
      <c r="B100" s="960"/>
      <c r="L100" s="36"/>
    </row>
    <row r="101" spans="1:19" s="10" customFormat="1" ht="23.25" customHeight="1" x14ac:dyDescent="0.25">
      <c r="A101"/>
      <c r="B101" s="960"/>
      <c r="C101" s="202"/>
      <c r="D101" s="201"/>
      <c r="E101" s="202"/>
      <c r="F101" s="36"/>
      <c r="L101" s="36"/>
      <c r="P101"/>
      <c r="Q101"/>
      <c r="R101"/>
      <c r="S101"/>
    </row>
    <row r="102" spans="1:19" s="10" customFormat="1" ht="23.25" customHeight="1" x14ac:dyDescent="0.25">
      <c r="A102"/>
      <c r="C102" s="202"/>
      <c r="D102" s="201"/>
      <c r="E102" s="202"/>
      <c r="F102" s="36"/>
      <c r="L102" s="36"/>
      <c r="P102"/>
      <c r="Q102"/>
      <c r="R102"/>
      <c r="S102"/>
    </row>
    <row r="103" spans="1:19" s="10" customFormat="1" ht="44.25" customHeight="1" x14ac:dyDescent="0.25">
      <c r="A103"/>
      <c r="C103" s="206"/>
      <c r="D103" s="268"/>
      <c r="E103" s="57"/>
      <c r="F103" s="268"/>
      <c r="P103"/>
      <c r="Q103"/>
      <c r="R103"/>
      <c r="S103"/>
    </row>
    <row r="104" spans="1:19" s="10" customFormat="1" ht="23.25" customHeight="1" x14ac:dyDescent="0.25">
      <c r="A104"/>
      <c r="C104" s="206"/>
      <c r="D104" s="268"/>
      <c r="E104" s="57"/>
      <c r="F104" s="268"/>
      <c r="G104" s="57"/>
      <c r="H104" s="57"/>
      <c r="P104"/>
      <c r="Q104"/>
      <c r="R104"/>
      <c r="S104"/>
    </row>
    <row r="105" spans="1:19" s="10" customFormat="1" ht="33" customHeight="1" x14ac:dyDescent="0.25">
      <c r="A105"/>
      <c r="C105" s="206"/>
      <c r="D105" s="201"/>
      <c r="E105" s="202"/>
      <c r="F105" s="268"/>
      <c r="P105"/>
      <c r="Q105"/>
      <c r="R105"/>
      <c r="S105"/>
    </row>
    <row r="106" spans="1:19" s="10" customFormat="1" ht="23.25" customHeight="1" x14ac:dyDescent="0.25">
      <c r="A106"/>
      <c r="C106" s="202"/>
      <c r="D106" s="201"/>
      <c r="E106" s="202"/>
      <c r="F106" s="268"/>
      <c r="P106"/>
      <c r="Q106"/>
      <c r="R106"/>
      <c r="S106"/>
    </row>
    <row r="107" spans="1:19" s="10" customFormat="1" ht="23.25" customHeight="1" x14ac:dyDescent="0.25">
      <c r="A107"/>
      <c r="C107" s="202"/>
      <c r="D107" s="201"/>
      <c r="E107" s="202"/>
      <c r="F107" s="269"/>
      <c r="G107" s="270"/>
      <c r="H107" s="57"/>
      <c r="P107"/>
      <c r="Q107"/>
      <c r="R107"/>
      <c r="S107"/>
    </row>
  </sheetData>
  <sheetProtection password="FB6B" sheet="1" formatCells="0" formatColumns="0" formatRows="0"/>
  <mergeCells count="204">
    <mergeCell ref="J86:L86"/>
    <mergeCell ref="G86:I86"/>
    <mergeCell ref="B89:B90"/>
    <mergeCell ref="C89:C90"/>
    <mergeCell ref="D89:D90"/>
    <mergeCell ref="E89:E90"/>
    <mergeCell ref="F89:F90"/>
    <mergeCell ref="D93:D94"/>
    <mergeCell ref="E93:E94"/>
    <mergeCell ref="F93:F94"/>
    <mergeCell ref="B93:B94"/>
    <mergeCell ref="C93:C94"/>
    <mergeCell ref="G13:J13"/>
    <mergeCell ref="G1:L1"/>
    <mergeCell ref="C2:H2"/>
    <mergeCell ref="C3:H3"/>
    <mergeCell ref="B6:B7"/>
    <mergeCell ref="C6:C7"/>
    <mergeCell ref="D6:D7"/>
    <mergeCell ref="E6:E7"/>
    <mergeCell ref="F6:F7"/>
    <mergeCell ref="G4:M4"/>
    <mergeCell ref="B9:B10"/>
    <mergeCell ref="C9:C10"/>
    <mergeCell ref="D9:D10"/>
    <mergeCell ref="E9:E10"/>
    <mergeCell ref="F9:F10"/>
    <mergeCell ref="B11:B12"/>
    <mergeCell ref="C11:C12"/>
    <mergeCell ref="D11:D12"/>
    <mergeCell ref="E11:E12"/>
    <mergeCell ref="F11:F12"/>
    <mergeCell ref="D17:E17"/>
    <mergeCell ref="B18:B19"/>
    <mergeCell ref="C18:C19"/>
    <mergeCell ref="D18:D19"/>
    <mergeCell ref="E18:E19"/>
    <mergeCell ref="F18:F19"/>
    <mergeCell ref="B14:B15"/>
    <mergeCell ref="C14:C15"/>
    <mergeCell ref="D14:D15"/>
    <mergeCell ref="E14:E15"/>
    <mergeCell ref="F14:F15"/>
    <mergeCell ref="B20:B21"/>
    <mergeCell ref="C20:C21"/>
    <mergeCell ref="D20:D21"/>
    <mergeCell ref="E20:E21"/>
    <mergeCell ref="F20:F21"/>
    <mergeCell ref="B22:B23"/>
    <mergeCell ref="C22:C23"/>
    <mergeCell ref="D22:D23"/>
    <mergeCell ref="E22:E23"/>
    <mergeCell ref="F22:F23"/>
    <mergeCell ref="B28:B29"/>
    <mergeCell ref="C28:C29"/>
    <mergeCell ref="D28:D29"/>
    <mergeCell ref="E28:E29"/>
    <mergeCell ref="F28:F29"/>
    <mergeCell ref="G24:H24"/>
    <mergeCell ref="I24:K24"/>
    <mergeCell ref="M24:R24"/>
    <mergeCell ref="M25:R25"/>
    <mergeCell ref="B26:B27"/>
    <mergeCell ref="C26:C27"/>
    <mergeCell ref="D26:D27"/>
    <mergeCell ref="E26:E27"/>
    <mergeCell ref="F26:F27"/>
    <mergeCell ref="B31:B32"/>
    <mergeCell ref="C31:C32"/>
    <mergeCell ref="D31:D32"/>
    <mergeCell ref="E31:E32"/>
    <mergeCell ref="F31:F32"/>
    <mergeCell ref="B35:B36"/>
    <mergeCell ref="C35:C36"/>
    <mergeCell ref="D35:D36"/>
    <mergeCell ref="E35:E36"/>
    <mergeCell ref="F35:F36"/>
    <mergeCell ref="B37:B38"/>
    <mergeCell ref="C37:C38"/>
    <mergeCell ref="D37:D38"/>
    <mergeCell ref="E37:E38"/>
    <mergeCell ref="F37:F38"/>
    <mergeCell ref="B39:B40"/>
    <mergeCell ref="C39:C40"/>
    <mergeCell ref="D39:D40"/>
    <mergeCell ref="E39:E40"/>
    <mergeCell ref="F39:F40"/>
    <mergeCell ref="B41:B42"/>
    <mergeCell ref="C41:C42"/>
    <mergeCell ref="D41:D42"/>
    <mergeCell ref="E41:E42"/>
    <mergeCell ref="F41:F42"/>
    <mergeCell ref="B44:B45"/>
    <mergeCell ref="C44:C45"/>
    <mergeCell ref="D44:D45"/>
    <mergeCell ref="E44:E45"/>
    <mergeCell ref="F44:F45"/>
    <mergeCell ref="L49:M49"/>
    <mergeCell ref="B51:B52"/>
    <mergeCell ref="C51:C52"/>
    <mergeCell ref="D51:D52"/>
    <mergeCell ref="E51:E52"/>
    <mergeCell ref="F51:F52"/>
    <mergeCell ref="B46:B47"/>
    <mergeCell ref="C46:C47"/>
    <mergeCell ref="D46:D47"/>
    <mergeCell ref="E46:E47"/>
    <mergeCell ref="F46:F47"/>
    <mergeCell ref="B49:B50"/>
    <mergeCell ref="C49:C50"/>
    <mergeCell ref="D49:D50"/>
    <mergeCell ref="E49:E50"/>
    <mergeCell ref="F49:F50"/>
    <mergeCell ref="B53:B54"/>
    <mergeCell ref="C53:C54"/>
    <mergeCell ref="D53:D54"/>
    <mergeCell ref="E53:E54"/>
    <mergeCell ref="F53:F54"/>
    <mergeCell ref="B55:B56"/>
    <mergeCell ref="C55:C56"/>
    <mergeCell ref="D55:D56"/>
    <mergeCell ref="E55:E56"/>
    <mergeCell ref="F55:F56"/>
    <mergeCell ref="B57:B58"/>
    <mergeCell ref="C57:C58"/>
    <mergeCell ref="D57:D58"/>
    <mergeCell ref="E57:E58"/>
    <mergeCell ref="F57:F58"/>
    <mergeCell ref="B59:B60"/>
    <mergeCell ref="C59:C60"/>
    <mergeCell ref="D59:D60"/>
    <mergeCell ref="E59:E60"/>
    <mergeCell ref="F59:F60"/>
    <mergeCell ref="B61:B62"/>
    <mergeCell ref="C61:C62"/>
    <mergeCell ref="D61:D62"/>
    <mergeCell ref="E61:E62"/>
    <mergeCell ref="F61:F62"/>
    <mergeCell ref="B63:B64"/>
    <mergeCell ref="C63:C64"/>
    <mergeCell ref="D63:D64"/>
    <mergeCell ref="E63:E64"/>
    <mergeCell ref="F63:F64"/>
    <mergeCell ref="B65:B66"/>
    <mergeCell ref="C65:C66"/>
    <mergeCell ref="D65:D66"/>
    <mergeCell ref="E65:E66"/>
    <mergeCell ref="F65:F66"/>
    <mergeCell ref="B67:B68"/>
    <mergeCell ref="C67:C68"/>
    <mergeCell ref="D67:D68"/>
    <mergeCell ref="E67:E68"/>
    <mergeCell ref="F67:F68"/>
    <mergeCell ref="B73:B74"/>
    <mergeCell ref="C73:C74"/>
    <mergeCell ref="D73:D74"/>
    <mergeCell ref="E73:E74"/>
    <mergeCell ref="F73:F74"/>
    <mergeCell ref="B69:B70"/>
    <mergeCell ref="C69:C70"/>
    <mergeCell ref="D69:D70"/>
    <mergeCell ref="E69:E70"/>
    <mergeCell ref="F69:F70"/>
    <mergeCell ref="B71:B72"/>
    <mergeCell ref="C71:C72"/>
    <mergeCell ref="D71:D72"/>
    <mergeCell ref="E71:E72"/>
    <mergeCell ref="F71:F72"/>
    <mergeCell ref="E81:E82"/>
    <mergeCell ref="F81:F82"/>
    <mergeCell ref="K81:M81"/>
    <mergeCell ref="B77:B78"/>
    <mergeCell ref="D77:D78"/>
    <mergeCell ref="E77:E78"/>
    <mergeCell ref="F77:F78"/>
    <mergeCell ref="B79:B80"/>
    <mergeCell ref="C79:C80"/>
    <mergeCell ref="D79:D80"/>
    <mergeCell ref="E79:E80"/>
    <mergeCell ref="F79:F80"/>
    <mergeCell ref="M85:P85"/>
    <mergeCell ref="G76:J76"/>
    <mergeCell ref="K76:L76"/>
    <mergeCell ref="M76:N76"/>
    <mergeCell ref="B100:B101"/>
    <mergeCell ref="B87:B88"/>
    <mergeCell ref="C87:C88"/>
    <mergeCell ref="D87:D88"/>
    <mergeCell ref="E87:E88"/>
    <mergeCell ref="F87:F88"/>
    <mergeCell ref="B91:B92"/>
    <mergeCell ref="C91:C92"/>
    <mergeCell ref="D91:D92"/>
    <mergeCell ref="E91:E92"/>
    <mergeCell ref="F91:F92"/>
    <mergeCell ref="B83:B84"/>
    <mergeCell ref="C83:C84"/>
    <mergeCell ref="D83:D84"/>
    <mergeCell ref="E83:E84"/>
    <mergeCell ref="F83:F84"/>
    <mergeCell ref="B85:F85"/>
    <mergeCell ref="B81:B82"/>
    <mergeCell ref="C81:C82"/>
    <mergeCell ref="D81:D82"/>
  </mergeCells>
  <conditionalFormatting sqref="Q80 G84 K81 I94 G94 G90:H90 J88:L88 M89:N89 K90 K78 M78 N90">
    <cfRule type="containsText" dxfId="193" priority="179" operator="containsText" text="не застосовується">
      <formula>NOT(ISERROR(SEARCH("не застосовується",G78)))</formula>
    </cfRule>
  </conditionalFormatting>
  <conditionalFormatting sqref="G82">
    <cfRule type="containsText" dxfId="192" priority="178" operator="containsText" text="не застосовується">
      <formula>NOT(ISERROR(SEARCH("не застосовується",G82)))</formula>
    </cfRule>
  </conditionalFormatting>
  <conditionalFormatting sqref="R80">
    <cfRule type="containsText" dxfId="191" priority="177" operator="containsText" text="не застосовується">
      <formula>NOT(ISERROR(SEARCH("не застосовується",R80)))</formula>
    </cfRule>
  </conditionalFormatting>
  <conditionalFormatting sqref="H78 H80">
    <cfRule type="containsText" dxfId="190" priority="176" operator="containsText" text="не застосовується">
      <formula>NOT(ISERROR(SEARCH("не застосовується",H78)))</formula>
    </cfRule>
  </conditionalFormatting>
  <conditionalFormatting sqref="G78">
    <cfRule type="containsText" dxfId="189" priority="174" operator="containsText" text="не застосовується">
      <formula>NOT(ISERROR(SEARCH("не застосовується",G78)))</formula>
    </cfRule>
  </conditionalFormatting>
  <conditionalFormatting sqref="K56 M80 K59:K74 H92">
    <cfRule type="containsText" dxfId="188" priority="171" operator="containsText" text="FALSE">
      <formula>NOT(ISERROR(SEARCH("FALSE",H56)))</formula>
    </cfRule>
    <cfRule type="containsText" dxfId="187" priority="172" operator="containsText" text="Увага">
      <formula>NOT(ISERROR(SEARCH("Увага",H56)))</formula>
    </cfRule>
    <cfRule type="containsText" dxfId="186" priority="173" operator="containsText" text="TRUE">
      <formula>NOT(ISERROR(SEARCH("TRUE",H56)))</formula>
    </cfRule>
  </conditionalFormatting>
  <conditionalFormatting sqref="P78">
    <cfRule type="containsText" dxfId="185" priority="170" operator="containsText" text="не застосовується">
      <formula>NOT(ISERROR(SEARCH("не застосовується",P78)))</formula>
    </cfRule>
  </conditionalFormatting>
  <conditionalFormatting sqref="F9 F11 F18 F20 F22 F30 F34:F35 F37 F39 F41 F44 F49 F51 F53 F55 F57 F81 F83 F59 F79 F6 F61">
    <cfRule type="containsText" dxfId="184" priority="169" operator="containsText" text="TRUE">
      <formula>NOT(ISERROR(SEARCH("TRUE",F6)))</formula>
    </cfRule>
  </conditionalFormatting>
  <conditionalFormatting sqref="O80">
    <cfRule type="containsText" dxfId="183" priority="164" operator="containsText" text="FALSE">
      <formula>NOT(ISERROR(SEARCH("FALSE",O80)))</formula>
    </cfRule>
    <cfRule type="containsText" dxfId="182" priority="165" operator="containsText" text="Увага">
      <formula>NOT(ISERROR(SEARCH("Увага",O80)))</formula>
    </cfRule>
    <cfRule type="containsText" dxfId="181" priority="166" operator="containsText" text="TRUE">
      <formula>NOT(ISERROR(SEARCH("TRUE",O80)))</formula>
    </cfRule>
  </conditionalFormatting>
  <conditionalFormatting sqref="I16:I17">
    <cfRule type="cellIs" dxfId="180" priority="163" operator="equal">
      <formula>1</formula>
    </cfRule>
  </conditionalFormatting>
  <conditionalFormatting sqref="F9 F11 F18 F20 F22 F30 F34:F35 F37 F39 F41 F44 F49 F51 F53 F55 F57 F81 F83 F59 F79 F6 F61">
    <cfRule type="containsText" dxfId="179" priority="167" operator="containsText" text="FALSE">
      <formula>NOT(ISERROR(SEARCH("FALSE",F6)))</formula>
    </cfRule>
  </conditionalFormatting>
  <conditionalFormatting sqref="F9 F11 F18 F20 F22 F30 F34:F35 F37 F39 F41 F44 F49 F51 F53 F55 F57 F81 F83 F59 F79 F6 F61">
    <cfRule type="containsText" dxfId="178" priority="168" operator="containsText" text="Увага">
      <formula>NOT(ISERROR(SEARCH("Увага",F6)))</formula>
    </cfRule>
  </conditionalFormatting>
  <conditionalFormatting sqref="I11:I12">
    <cfRule type="cellIs" dxfId="177" priority="162" operator="equal">
      <formula>1</formula>
    </cfRule>
  </conditionalFormatting>
  <conditionalFormatting sqref="F31">
    <cfRule type="containsText" dxfId="176" priority="161" operator="containsText" text="TRUE">
      <formula>NOT(ISERROR(SEARCH("TRUE",F31)))</formula>
    </cfRule>
  </conditionalFormatting>
  <conditionalFormatting sqref="F31">
    <cfRule type="containsText" dxfId="175" priority="159" operator="containsText" text="FALSE">
      <formula>NOT(ISERROR(SEARCH("FALSE",F31)))</formula>
    </cfRule>
  </conditionalFormatting>
  <conditionalFormatting sqref="F31">
    <cfRule type="containsText" dxfId="174" priority="160" operator="containsText" text="Увага">
      <formula>NOT(ISERROR(SEARCH("Увага",F31)))</formula>
    </cfRule>
  </conditionalFormatting>
  <conditionalFormatting sqref="P80">
    <cfRule type="containsText" dxfId="173" priority="156" operator="containsText" text="FALSE">
      <formula>NOT(ISERROR(SEARCH("FALSE",P80)))</formula>
    </cfRule>
    <cfRule type="containsText" dxfId="172" priority="157" operator="containsText" text="Увага">
      <formula>NOT(ISERROR(SEARCH("Увага",P80)))</formula>
    </cfRule>
    <cfRule type="containsText" dxfId="171" priority="158" operator="containsText" text="TRUE">
      <formula>NOT(ISERROR(SEARCH("TRUE",P80)))</formula>
    </cfRule>
  </conditionalFormatting>
  <conditionalFormatting sqref="S80">
    <cfRule type="containsText" dxfId="170" priority="153" operator="containsText" text="FALSE">
      <formula>NOT(ISERROR(SEARCH("FALSE",S80)))</formula>
    </cfRule>
    <cfRule type="containsText" dxfId="169" priority="154" operator="containsText" text="Увага">
      <formula>NOT(ISERROR(SEARCH("Увага",S80)))</formula>
    </cfRule>
    <cfRule type="containsText" dxfId="168" priority="155" operator="containsText" text="TRUE">
      <formula>NOT(ISERROR(SEARCH("TRUE",S80)))</formula>
    </cfRule>
  </conditionalFormatting>
  <conditionalFormatting sqref="G80">
    <cfRule type="containsText" dxfId="167" priority="145" operator="containsText" text="не застосовується">
      <formula>NOT(ISERROR(SEARCH("не застосовується",G80)))</formula>
    </cfRule>
  </conditionalFormatting>
  <conditionalFormatting sqref="K80">
    <cfRule type="containsText" dxfId="166" priority="144" operator="containsText" text="не застосовується">
      <formula>NOT(ISERROR(SEARCH("не застосовується",K80)))</formula>
    </cfRule>
  </conditionalFormatting>
  <conditionalFormatting sqref="F26 F28">
    <cfRule type="containsText" dxfId="165" priority="143" operator="containsText" text="TRUE">
      <formula>NOT(ISERROR(SEARCH("TRUE",F26)))</formula>
    </cfRule>
  </conditionalFormatting>
  <conditionalFormatting sqref="F26 F28">
    <cfRule type="containsText" dxfId="164" priority="141" operator="containsText" text="FALSE">
      <formula>NOT(ISERROR(SEARCH("FALSE",F26)))</formula>
    </cfRule>
  </conditionalFormatting>
  <conditionalFormatting sqref="F26 F28">
    <cfRule type="containsText" dxfId="163" priority="142" operator="containsText" text="Увага">
      <formula>NOT(ISERROR(SEARCH("Увага",F26)))</formula>
    </cfRule>
  </conditionalFormatting>
  <conditionalFormatting sqref="F46">
    <cfRule type="containsText" dxfId="162" priority="140" operator="containsText" text="TRUE">
      <formula>NOT(ISERROR(SEARCH("TRUE",F46)))</formula>
    </cfRule>
  </conditionalFormatting>
  <conditionalFormatting sqref="F46">
    <cfRule type="containsText" dxfId="161" priority="138" operator="containsText" text="FALSE">
      <formula>NOT(ISERROR(SEARCH("FALSE",F46)))</formula>
    </cfRule>
  </conditionalFormatting>
  <conditionalFormatting sqref="F46">
    <cfRule type="containsText" dxfId="160" priority="139" operator="containsText" text="Увага">
      <formula>NOT(ISERROR(SEARCH("Увага",F46)))</formula>
    </cfRule>
  </conditionalFormatting>
  <conditionalFormatting sqref="F71 F73">
    <cfRule type="containsText" dxfId="159" priority="134" operator="containsText" text="TRUE">
      <formula>NOT(ISERROR(SEARCH("TRUE",F71)))</formula>
    </cfRule>
  </conditionalFormatting>
  <conditionalFormatting sqref="F71 F73">
    <cfRule type="containsText" dxfId="158" priority="132" operator="containsText" text="FALSE">
      <formula>NOT(ISERROR(SEARCH("FALSE",F71)))</formula>
    </cfRule>
  </conditionalFormatting>
  <conditionalFormatting sqref="F71 F73">
    <cfRule type="containsText" dxfId="157" priority="133" operator="containsText" text="Увага">
      <formula>NOT(ISERROR(SEARCH("Увага",F71)))</formula>
    </cfRule>
  </conditionalFormatting>
  <conditionalFormatting sqref="F69">
    <cfRule type="containsText" dxfId="156" priority="137" operator="containsText" text="TRUE">
      <formula>NOT(ISERROR(SEARCH("TRUE",F69)))</formula>
    </cfRule>
  </conditionalFormatting>
  <conditionalFormatting sqref="F69">
    <cfRule type="containsText" dxfId="155" priority="135" operator="containsText" text="FALSE">
      <formula>NOT(ISERROR(SEARCH("FALSE",F69)))</formula>
    </cfRule>
  </conditionalFormatting>
  <conditionalFormatting sqref="F69">
    <cfRule type="containsText" dxfId="154" priority="136" operator="containsText" text="Увага">
      <formula>NOT(ISERROR(SEARCH("Увага",F69)))</formula>
    </cfRule>
  </conditionalFormatting>
  <conditionalFormatting sqref="F63">
    <cfRule type="containsText" dxfId="153" priority="131" operator="containsText" text="TRUE">
      <formula>NOT(ISERROR(SEARCH("TRUE",F63)))</formula>
    </cfRule>
  </conditionalFormatting>
  <conditionalFormatting sqref="F63">
    <cfRule type="containsText" dxfId="152" priority="129" operator="containsText" text="FALSE">
      <formula>NOT(ISERROR(SEARCH("FALSE",F63)))</formula>
    </cfRule>
  </conditionalFormatting>
  <conditionalFormatting sqref="F63">
    <cfRule type="containsText" dxfId="151" priority="130" operator="containsText" text="Увага">
      <formula>NOT(ISERROR(SEARCH("Увага",F63)))</formula>
    </cfRule>
  </conditionalFormatting>
  <conditionalFormatting sqref="F65 F67">
    <cfRule type="containsText" dxfId="150" priority="126" operator="containsText" text="FALSE">
      <formula>NOT(ISERROR(SEARCH("FALSE",F65)))</formula>
    </cfRule>
  </conditionalFormatting>
  <conditionalFormatting sqref="F65 F67">
    <cfRule type="containsText" dxfId="149" priority="128" operator="containsText" text="TRUE">
      <formula>NOT(ISERROR(SEARCH("TRUE",F65)))</formula>
    </cfRule>
  </conditionalFormatting>
  <conditionalFormatting sqref="F65 F67">
    <cfRule type="containsText" dxfId="148" priority="127" operator="containsText" text="Увага">
      <formula>NOT(ISERROR(SEARCH("Увага",F65)))</formula>
    </cfRule>
  </conditionalFormatting>
  <conditionalFormatting sqref="Q81">
    <cfRule type="containsText" dxfId="147" priority="123" operator="containsText" text="FALSE">
      <formula>NOT(ISERROR(SEARCH("FALSE",Q81)))</formula>
    </cfRule>
    <cfRule type="containsText" dxfId="146" priority="124" operator="containsText" text="Увага">
      <formula>NOT(ISERROR(SEARCH("Увага",Q81)))</formula>
    </cfRule>
    <cfRule type="containsText" dxfId="145" priority="125" operator="containsText" text="TRUE">
      <formula>NOT(ISERROR(SEARCH("TRUE",Q81)))</formula>
    </cfRule>
  </conditionalFormatting>
  <conditionalFormatting sqref="F25">
    <cfRule type="containsText" dxfId="144" priority="122" operator="containsText" text="TRUE">
      <formula>NOT(ISERROR(SEARCH("TRUE",F25)))</formula>
    </cfRule>
  </conditionalFormatting>
  <conditionalFormatting sqref="F25">
    <cfRule type="containsText" dxfId="143" priority="120" operator="containsText" text="FALSE">
      <formula>NOT(ISERROR(SEARCH("FALSE",F25)))</formula>
    </cfRule>
  </conditionalFormatting>
  <conditionalFormatting sqref="F25">
    <cfRule type="containsText" dxfId="142" priority="121" operator="containsText" text="Увага">
      <formula>NOT(ISERROR(SEARCH("Увага",F25)))</formula>
    </cfRule>
  </conditionalFormatting>
  <conditionalFormatting sqref="F75">
    <cfRule type="containsText" dxfId="141" priority="119" operator="containsText" text="TRUE">
      <formula>NOT(ISERROR(SEARCH("TRUE",F75)))</formula>
    </cfRule>
  </conditionalFormatting>
  <conditionalFormatting sqref="F75">
    <cfRule type="containsText" dxfId="140" priority="117" operator="containsText" text="FALSE">
      <formula>NOT(ISERROR(SEARCH("FALSE",F75)))</formula>
    </cfRule>
  </conditionalFormatting>
  <conditionalFormatting sqref="F75">
    <cfRule type="containsText" dxfId="139" priority="118" operator="containsText" text="Увага">
      <formula>NOT(ISERROR(SEARCH("Увага",F75)))</formula>
    </cfRule>
  </conditionalFormatting>
  <conditionalFormatting sqref="F77">
    <cfRule type="containsText" dxfId="138" priority="116" operator="containsText" text="TRUE">
      <formula>NOT(ISERROR(SEARCH("TRUE",F77)))</formula>
    </cfRule>
  </conditionalFormatting>
  <conditionalFormatting sqref="F77">
    <cfRule type="containsText" dxfId="137" priority="114" operator="containsText" text="FALSE">
      <formula>NOT(ISERROR(SEARCH("FALSE",F77)))</formula>
    </cfRule>
  </conditionalFormatting>
  <conditionalFormatting sqref="F77">
    <cfRule type="containsText" dxfId="136" priority="115" operator="containsText" text="Увага">
      <formula>NOT(ISERROR(SEARCH("Увага",F77)))</formula>
    </cfRule>
  </conditionalFormatting>
  <conditionalFormatting sqref="F8">
    <cfRule type="containsText" dxfId="135" priority="108" operator="containsText" text="FALSE">
      <formula>NOT(ISERROR(SEARCH("FALSE",F8)))</formula>
    </cfRule>
  </conditionalFormatting>
  <conditionalFormatting sqref="F16">
    <cfRule type="containsText" dxfId="134" priority="113" operator="containsText" text="TRUE">
      <formula>NOT(ISERROR(SEARCH("TRUE",F16)))</formula>
    </cfRule>
  </conditionalFormatting>
  <conditionalFormatting sqref="F16">
    <cfRule type="containsText" dxfId="133" priority="111" operator="containsText" text="FALSE">
      <formula>NOT(ISERROR(SEARCH("FALSE",F16)))</formula>
    </cfRule>
  </conditionalFormatting>
  <conditionalFormatting sqref="F16">
    <cfRule type="containsText" dxfId="132" priority="112" operator="containsText" text="Увага">
      <formula>NOT(ISERROR(SEARCH("Увага",F16)))</formula>
    </cfRule>
  </conditionalFormatting>
  <conditionalFormatting sqref="F8">
    <cfRule type="containsText" dxfId="131" priority="110" operator="containsText" text="TRUE">
      <formula>NOT(ISERROR(SEARCH("TRUE",F8)))</formula>
    </cfRule>
  </conditionalFormatting>
  <conditionalFormatting sqref="F8">
    <cfRule type="containsText" dxfId="130" priority="109" operator="containsText" text="Увага">
      <formula>NOT(ISERROR(SEARCH("Увага",F8)))</formula>
    </cfRule>
  </conditionalFormatting>
  <conditionalFormatting sqref="F95 F97">
    <cfRule type="containsText" dxfId="129" priority="107" operator="containsText" text="не застосовується">
      <formula>NOT(ISERROR(SEARCH("не застосовується",F95)))</formula>
    </cfRule>
  </conditionalFormatting>
  <conditionalFormatting sqref="F96">
    <cfRule type="containsText" dxfId="128" priority="101" operator="containsText" text="FALSE">
      <formula>NOT(ISERROR(SEARCH("FALSE",F96)))</formula>
    </cfRule>
    <cfRule type="containsText" dxfId="127" priority="102" operator="containsText" text="Увага">
      <formula>NOT(ISERROR(SEARCH("Увага",F96)))</formula>
    </cfRule>
    <cfRule type="containsText" dxfId="126" priority="103" operator="containsText" text="TRUE">
      <formula>NOT(ISERROR(SEARCH("TRUE",F96)))</formula>
    </cfRule>
  </conditionalFormatting>
  <conditionalFormatting sqref="F17">
    <cfRule type="cellIs" dxfId="125" priority="100" operator="equal">
      <formula>1</formula>
    </cfRule>
  </conditionalFormatting>
  <conditionalFormatting sqref="K15">
    <cfRule type="cellIs" dxfId="124" priority="98" operator="equal">
      <formula>1</formula>
    </cfRule>
  </conditionalFormatting>
  <conditionalFormatting sqref="P14:P15">
    <cfRule type="containsText" dxfId="123" priority="99" operator="containsText" text="FALSE">
      <formula>NOT(ISERROR(SEARCH("FALSE",P14)))</formula>
    </cfRule>
  </conditionalFormatting>
  <conditionalFormatting sqref="K14">
    <cfRule type="cellIs" dxfId="122" priority="97" operator="equal">
      <formula>1</formula>
    </cfRule>
  </conditionalFormatting>
  <conditionalFormatting sqref="F14">
    <cfRule type="containsText" dxfId="121" priority="93" operator="containsText" text="FALSE">
      <formula>NOT(ISERROR(SEARCH("FALSE",F14)))</formula>
    </cfRule>
  </conditionalFormatting>
  <conditionalFormatting sqref="F14">
    <cfRule type="containsText" dxfId="120" priority="95" operator="containsText" text="TRUE">
      <formula>NOT(ISERROR(SEARCH("TRUE",F14)))</formula>
    </cfRule>
  </conditionalFormatting>
  <conditionalFormatting sqref="F14">
    <cfRule type="containsText" dxfId="119" priority="94" operator="containsText" text="Увага">
      <formula>NOT(ISERROR(SEARCH("Увага",F14)))</formula>
    </cfRule>
  </conditionalFormatting>
  <conditionalFormatting sqref="F87 F89">
    <cfRule type="containsText" dxfId="118" priority="87" operator="containsText" text="TRUE">
      <formula>NOT(ISERROR(SEARCH("TRUE",F87)))</formula>
    </cfRule>
  </conditionalFormatting>
  <conditionalFormatting sqref="F87 F89">
    <cfRule type="containsText" dxfId="117" priority="85" operator="containsText" text="FALSE">
      <formula>NOT(ISERROR(SEARCH("FALSE",F87)))</formula>
    </cfRule>
  </conditionalFormatting>
  <conditionalFormatting sqref="F87 F89">
    <cfRule type="containsText" dxfId="116" priority="86" operator="containsText" text="Увага">
      <formula>NOT(ISERROR(SEARCH("Увага",F87)))</formula>
    </cfRule>
  </conditionalFormatting>
  <conditionalFormatting sqref="F91">
    <cfRule type="containsText" dxfId="115" priority="84" operator="containsText" text="TRUE">
      <formula>NOT(ISERROR(SEARCH("TRUE",F91)))</formula>
    </cfRule>
  </conditionalFormatting>
  <conditionalFormatting sqref="F91">
    <cfRule type="containsText" dxfId="114" priority="82" operator="containsText" text="FALSE">
      <formula>NOT(ISERROR(SEARCH("FALSE",F91)))</formula>
    </cfRule>
  </conditionalFormatting>
  <conditionalFormatting sqref="F91">
    <cfRule type="containsText" dxfId="113" priority="83" operator="containsText" text="Увага">
      <formula>NOT(ISERROR(SEARCH("Увага",F91)))</formula>
    </cfRule>
  </conditionalFormatting>
  <conditionalFormatting sqref="J2">
    <cfRule type="containsText" dxfId="112" priority="78" operator="containsText" text="Зелена">
      <formula>NOT(ISERROR(SEARCH("Зелена",J2)))</formula>
    </cfRule>
    <cfRule type="containsText" dxfId="111" priority="79" operator="containsText" text="Жовта">
      <formula>NOT(ISERROR(SEARCH("Жовта",J2)))</formula>
    </cfRule>
    <cfRule type="containsText" dxfId="110" priority="80" operator="containsText" text="Синя">
      <formula>NOT(ISERROR(SEARCH("Синя",J2)))</formula>
    </cfRule>
    <cfRule type="containsText" dxfId="109" priority="81" operator="containsText" text="Червона">
      <formula>NOT(ISERROR(SEARCH("Червона",J2)))</formula>
    </cfRule>
  </conditionalFormatting>
  <conditionalFormatting sqref="I92">
    <cfRule type="containsText" dxfId="108" priority="77" operator="containsText" text="не застосовується">
      <formula>NOT(ISERROR(SEARCH("не застосовується",I92)))</formula>
    </cfRule>
  </conditionalFormatting>
  <conditionalFormatting sqref="I82">
    <cfRule type="containsText" dxfId="107" priority="74" operator="containsText" text="FALSE">
      <formula>NOT(ISERROR(SEARCH("FALSE",I82)))</formula>
    </cfRule>
    <cfRule type="containsText" dxfId="106" priority="75" operator="containsText" text="Увага">
      <formula>NOT(ISERROR(SEARCH("Увага",I82)))</formula>
    </cfRule>
    <cfRule type="containsText" dxfId="105" priority="76" operator="containsText" text="TRUE">
      <formula>NOT(ISERROR(SEARCH("TRUE",I82)))</formula>
    </cfRule>
  </conditionalFormatting>
  <conditionalFormatting sqref="F5">
    <cfRule type="containsText" dxfId="104" priority="73" operator="containsText" text="TRUE">
      <formula>NOT(ISERROR(SEARCH("TRUE",F5)))</formula>
    </cfRule>
  </conditionalFormatting>
  <conditionalFormatting sqref="F5">
    <cfRule type="containsText" dxfId="103" priority="71" operator="containsText" text="FALSE">
      <formula>NOT(ISERROR(SEARCH("FALSE",F5)))</formula>
    </cfRule>
  </conditionalFormatting>
  <conditionalFormatting sqref="F5">
    <cfRule type="containsText" dxfId="102" priority="72" operator="containsText" text="Увага">
      <formula>NOT(ISERROR(SEARCH("Увага",F5)))</formula>
    </cfRule>
  </conditionalFormatting>
  <conditionalFormatting sqref="G92">
    <cfRule type="containsText" dxfId="101" priority="62" operator="containsText" text="FALSE">
      <formula>NOT(ISERROR(SEARCH("FALSE",G92)))</formula>
    </cfRule>
    <cfRule type="containsText" dxfId="100" priority="63" operator="containsText" text="Увага">
      <formula>NOT(ISERROR(SEARCH("Увага",G92)))</formula>
    </cfRule>
    <cfRule type="containsText" dxfId="99" priority="64" operator="containsText" text="TRUE">
      <formula>NOT(ISERROR(SEARCH("TRUE",G92)))</formula>
    </cfRule>
  </conditionalFormatting>
  <conditionalFormatting sqref="G88">
    <cfRule type="containsText" dxfId="98" priority="59" operator="containsText" text="FALSE">
      <formula>NOT(ISERROR(SEARCH("FALSE",G88)))</formula>
    </cfRule>
    <cfRule type="containsText" dxfId="97" priority="60" operator="containsText" text="Увага">
      <formula>NOT(ISERROR(SEARCH("Увага",G88)))</formula>
    </cfRule>
    <cfRule type="containsText" dxfId="96" priority="61" operator="containsText" text="TRUE">
      <formula>NOT(ISERROR(SEARCH("TRUE",G88)))</formula>
    </cfRule>
  </conditionalFormatting>
  <conditionalFormatting sqref="H88">
    <cfRule type="containsText" dxfId="95" priority="56" operator="containsText" text="FALSE">
      <formula>NOT(ISERROR(SEARCH("FALSE",H88)))</formula>
    </cfRule>
    <cfRule type="containsText" dxfId="94" priority="57" operator="containsText" text="Увага">
      <formula>NOT(ISERROR(SEARCH("Увага",H88)))</formula>
    </cfRule>
    <cfRule type="containsText" dxfId="93" priority="58" operator="containsText" text="TRUE">
      <formula>NOT(ISERROR(SEARCH("TRUE",H88)))</formula>
    </cfRule>
  </conditionalFormatting>
  <conditionalFormatting sqref="H94">
    <cfRule type="containsText" dxfId="92" priority="52" operator="containsText" text="FALSE">
      <formula>NOT(ISERROR(SEARCH("FALSE",H94)))</formula>
    </cfRule>
    <cfRule type="containsText" dxfId="91" priority="53" operator="containsText" text="Увага">
      <formula>NOT(ISERROR(SEARCH("Увага",H94)))</formula>
    </cfRule>
    <cfRule type="containsText" dxfId="90" priority="54" operator="containsText" text="TRUE">
      <formula>NOT(ISERROR(SEARCH("TRUE",H94)))</formula>
    </cfRule>
  </conditionalFormatting>
  <conditionalFormatting sqref="J92">
    <cfRule type="containsText" dxfId="89" priority="49" operator="containsText" text="FALSE">
      <formula>NOT(ISERROR(SEARCH("FALSE",J92)))</formula>
    </cfRule>
    <cfRule type="containsText" dxfId="88" priority="50" operator="containsText" text="Увага">
      <formula>NOT(ISERROR(SEARCH("Увага",J92)))</formula>
    </cfRule>
    <cfRule type="containsText" dxfId="87" priority="51" operator="containsText" text="TRUE">
      <formula>NOT(ISERROR(SEARCH("TRUE",J92)))</formula>
    </cfRule>
  </conditionalFormatting>
  <conditionalFormatting sqref="K92">
    <cfRule type="containsText" dxfId="86" priority="46" operator="containsText" text="FALSE">
      <formula>NOT(ISERROR(SEARCH("FALSE",K92)))</formula>
    </cfRule>
    <cfRule type="containsText" dxfId="85" priority="47" operator="containsText" text="Увага">
      <formula>NOT(ISERROR(SEARCH("Увага",K92)))</formula>
    </cfRule>
    <cfRule type="containsText" dxfId="84" priority="48" operator="containsText" text="TRUE">
      <formula>NOT(ISERROR(SEARCH("TRUE",K92)))</formula>
    </cfRule>
  </conditionalFormatting>
  <conditionalFormatting sqref="L92">
    <cfRule type="containsText" dxfId="83" priority="45" operator="containsText" text="не застосовується">
      <formula>NOT(ISERROR(SEARCH("не застосовується",L92)))</formula>
    </cfRule>
  </conditionalFormatting>
  <conditionalFormatting sqref="L94 J94">
    <cfRule type="containsText" dxfId="82" priority="44" operator="containsText" text="не застосовується">
      <formula>NOT(ISERROR(SEARCH("не застосовується",J94)))</formula>
    </cfRule>
  </conditionalFormatting>
  <conditionalFormatting sqref="K94">
    <cfRule type="containsText" dxfId="81" priority="41" operator="containsText" text="FALSE">
      <formula>NOT(ISERROR(SEARCH("FALSE",K94)))</formula>
    </cfRule>
    <cfRule type="containsText" dxfId="80" priority="42" operator="containsText" text="Увага">
      <formula>NOT(ISERROR(SEARCH("Увага",K94)))</formula>
    </cfRule>
    <cfRule type="containsText" dxfId="79" priority="43" operator="containsText" text="TRUE">
      <formula>NOT(ISERROR(SEARCH("TRUE",K94)))</formula>
    </cfRule>
  </conditionalFormatting>
  <conditionalFormatting sqref="F93">
    <cfRule type="containsText" dxfId="78" priority="40" operator="containsText" text="TRUE">
      <formula>NOT(ISERROR(SEARCH("TRUE",F93)))</formula>
    </cfRule>
  </conditionalFormatting>
  <conditionalFormatting sqref="F93">
    <cfRule type="containsText" dxfId="77" priority="38" operator="containsText" text="FALSE">
      <formula>NOT(ISERROR(SEARCH("FALSE",F93)))</formula>
    </cfRule>
  </conditionalFormatting>
  <conditionalFormatting sqref="F93">
    <cfRule type="containsText" dxfId="76" priority="39" operator="containsText" text="Увага">
      <formula>NOT(ISERROR(SEARCH("Увага",F93)))</formula>
    </cfRule>
  </conditionalFormatting>
  <conditionalFormatting sqref="J90">
    <cfRule type="containsText" dxfId="75" priority="37" operator="containsText" text="не застосовується">
      <formula>NOT(ISERROR(SEARCH("не застосовується",J90)))</formula>
    </cfRule>
  </conditionalFormatting>
  <conditionalFormatting sqref="I88">
    <cfRule type="containsText" dxfId="74" priority="36" operator="containsText" text="не застосовується">
      <formula>NOT(ISERROR(SEARCH("не застосовується",I88)))</formula>
    </cfRule>
  </conditionalFormatting>
  <conditionalFormatting sqref="I90">
    <cfRule type="containsText" dxfId="73" priority="35" operator="containsText" text="не застосовується">
      <formula>NOT(ISERROR(SEARCH("не застосовується",I90)))</formula>
    </cfRule>
  </conditionalFormatting>
  <conditionalFormatting sqref="L90">
    <cfRule type="containsText" dxfId="72" priority="34" operator="containsText" text="не застосовується">
      <formula>NOT(ISERROR(SEARCH("не застосовується",L90)))</formula>
    </cfRule>
  </conditionalFormatting>
  <conditionalFormatting sqref="H82">
    <cfRule type="containsText" dxfId="71" priority="31" operator="containsText" text="FALSE">
      <formula>NOT(ISERROR(SEARCH("FALSE",H82)))</formula>
    </cfRule>
    <cfRule type="containsText" dxfId="70" priority="32" operator="containsText" text="Увага">
      <formula>NOT(ISERROR(SEARCH("Увага",H82)))</formula>
    </cfRule>
    <cfRule type="containsText" dxfId="69" priority="33" operator="containsText" text="TRUE">
      <formula>NOT(ISERROR(SEARCH("TRUE",H82)))</formula>
    </cfRule>
  </conditionalFormatting>
  <conditionalFormatting sqref="I78">
    <cfRule type="containsText" dxfId="68" priority="30" operator="containsText" text="не застосовується">
      <formula>NOT(ISERROR(SEARCH("не застосовується",I78)))</formula>
    </cfRule>
  </conditionalFormatting>
  <conditionalFormatting sqref="J78">
    <cfRule type="containsText" dxfId="67" priority="29" operator="containsText" text="не застосовується">
      <formula>NOT(ISERROR(SEARCH("не застосовується",J78)))</formula>
    </cfRule>
  </conditionalFormatting>
  <conditionalFormatting sqref="L78">
    <cfRule type="containsText" dxfId="66" priority="27" operator="containsText" text="не застосовується">
      <formula>NOT(ISERROR(SEARCH("не застосовується",L78)))</formula>
    </cfRule>
  </conditionalFormatting>
  <conditionalFormatting sqref="N78">
    <cfRule type="containsText" dxfId="65" priority="25" operator="containsText" text="не застосовується">
      <formula>NOT(ISERROR(SEARCH("не застосовується",N78)))</formula>
    </cfRule>
  </conditionalFormatting>
  <conditionalFormatting sqref="O78">
    <cfRule type="containsText" dxfId="64" priority="24" operator="containsText" text="не застосовується">
      <formula>NOT(ISERROR(SEARCH("не застосовується",O78)))</formula>
    </cfRule>
  </conditionalFormatting>
  <conditionalFormatting sqref="L14">
    <cfRule type="cellIs" dxfId="63" priority="23" operator="equal">
      <formula>1</formula>
    </cfRule>
  </conditionalFormatting>
  <conditionalFormatting sqref="L15">
    <cfRule type="cellIs" dxfId="62" priority="22" operator="equal">
      <formula>1</formula>
    </cfRule>
  </conditionalFormatting>
  <conditionalFormatting sqref="T80">
    <cfRule type="containsText" dxfId="61" priority="19" operator="containsText" text="FALSE">
      <formula>NOT(ISERROR(SEARCH("FALSE",T80)))</formula>
    </cfRule>
    <cfRule type="containsText" dxfId="60" priority="20" operator="containsText" text="Увага">
      <formula>NOT(ISERROR(SEARCH("Увага",T80)))</formula>
    </cfRule>
    <cfRule type="containsText" dxfId="59" priority="21" operator="containsText" text="TRUE">
      <formula>NOT(ISERROR(SEARCH("TRUE",T80)))</formula>
    </cfRule>
  </conditionalFormatting>
  <conditionalFormatting sqref="I80">
    <cfRule type="containsText" dxfId="58" priority="18" operator="containsText" text="не застосовується">
      <formula>NOT(ISERROR(SEARCH("не застосовується",I80)))</formula>
    </cfRule>
  </conditionalFormatting>
  <conditionalFormatting sqref="J80">
    <cfRule type="containsText" dxfId="57" priority="17" operator="containsText" text="не застосовується">
      <formula>NOT(ISERROR(SEARCH("не застосовується",J80)))</formula>
    </cfRule>
  </conditionalFormatting>
  <conditionalFormatting sqref="L80">
    <cfRule type="containsText" dxfId="56" priority="16" operator="containsText" text="не застосовується">
      <formula>NOT(ISERROR(SEARCH("не застосовується",L80)))</formula>
    </cfRule>
  </conditionalFormatting>
  <conditionalFormatting sqref="N80">
    <cfRule type="containsText" dxfId="55" priority="13" operator="containsText" text="FALSE">
      <formula>NOT(ISERROR(SEARCH("FALSE",N80)))</formula>
    </cfRule>
    <cfRule type="containsText" dxfId="54" priority="14" operator="containsText" text="Увага">
      <formula>NOT(ISERROR(SEARCH("Увага",N80)))</formula>
    </cfRule>
    <cfRule type="containsText" dxfId="53" priority="15" operator="containsText" text="TRUE">
      <formula>NOT(ISERROR(SEARCH("TRUE",N80)))</formula>
    </cfRule>
  </conditionalFormatting>
  <conditionalFormatting sqref="I2">
    <cfRule type="expression" dxfId="52" priority="180">
      <formula>#REF!="Зелена"</formula>
    </cfRule>
  </conditionalFormatting>
  <conditionalFormatting sqref="M94">
    <cfRule type="containsText" dxfId="51" priority="12" operator="containsText" text="TRUE">
      <formula>NOT(ISERROR(SEARCH("TRUE",M94)))</formula>
    </cfRule>
  </conditionalFormatting>
  <conditionalFormatting sqref="M94">
    <cfRule type="containsText" dxfId="50" priority="10" operator="containsText" text="FALSE">
      <formula>NOT(ISERROR(SEARCH("FALSE",M94)))</formula>
    </cfRule>
  </conditionalFormatting>
  <conditionalFormatting sqref="M94">
    <cfRule type="containsText" dxfId="49" priority="11" operator="containsText" text="Увага">
      <formula>NOT(ISERROR(SEARCH("Увага",M94)))</formula>
    </cfRule>
  </conditionalFormatting>
  <conditionalFormatting sqref="N94">
    <cfRule type="containsText" dxfId="48" priority="9" operator="containsText" text="TRUE">
      <formula>NOT(ISERROR(SEARCH("TRUE",N94)))</formula>
    </cfRule>
  </conditionalFormatting>
  <conditionalFormatting sqref="N94">
    <cfRule type="containsText" dxfId="47" priority="7" operator="containsText" text="FALSE">
      <formula>NOT(ISERROR(SEARCH("FALSE",N94)))</formula>
    </cfRule>
  </conditionalFormatting>
  <conditionalFormatting sqref="N94">
    <cfRule type="containsText" dxfId="46" priority="8" operator="containsText" text="Увага">
      <formula>NOT(ISERROR(SEARCH("Увага",N94)))</formula>
    </cfRule>
  </conditionalFormatting>
  <conditionalFormatting sqref="M19">
    <cfRule type="containsText" dxfId="45" priority="6" operator="containsText" text="TRUE">
      <formula>NOT(ISERROR(SEARCH("TRUE",M19)))</formula>
    </cfRule>
  </conditionalFormatting>
  <conditionalFormatting sqref="M19">
    <cfRule type="containsText" dxfId="44" priority="4" operator="containsText" text="FALSE">
      <formula>NOT(ISERROR(SEARCH("FALSE",M19)))</formula>
    </cfRule>
  </conditionalFormatting>
  <conditionalFormatting sqref="M19">
    <cfRule type="containsText" dxfId="43" priority="5" operator="containsText" text="Увага">
      <formula>NOT(ISERROR(SEARCH("Увага",M19)))</formula>
    </cfRule>
  </conditionalFormatting>
  <conditionalFormatting sqref="M10">
    <cfRule type="containsText" dxfId="42" priority="3" operator="containsText" text="TRUE">
      <formula>NOT(ISERROR(SEARCH("TRUE",M10)))</formula>
    </cfRule>
  </conditionalFormatting>
  <conditionalFormatting sqref="M10">
    <cfRule type="containsText" dxfId="41" priority="1" operator="containsText" text="FALSE">
      <formula>NOT(ISERROR(SEARCH("FALSE",M10)))</formula>
    </cfRule>
  </conditionalFormatting>
  <conditionalFormatting sqref="M10">
    <cfRule type="containsText" dxfId="40" priority="2" operator="containsText" text="Увага">
      <formula>NOT(ISERROR(SEARCH("Увага",M10)))</formula>
    </cfRule>
  </conditionalFormatting>
  <pageMargins left="0.7" right="0.7" top="0.75" bottom="0.75" header="0.3" footer="0.3"/>
  <pageSetup paperSize="9" scale="15" fitToHeight="0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96" operator="containsText" id="{9DE06666-39FA-48E5-B4C9-1003F1BDBFC9}">
            <xm:f>NOT(ISERROR(SEARCH(TRUE,P14)))</xm:f>
            <xm:f>TRUE</xm:f>
            <x14:dxf>
              <fill>
                <patternFill>
                  <bgColor theme="9" tint="-0.24994659260841701"/>
                </patternFill>
              </fill>
            </x14:dxf>
          </x14:cfRule>
          <xm:sqref>P14:P15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Аркуш11"/>
  <dimension ref="A2:AQ10"/>
  <sheetViews>
    <sheetView workbookViewId="0">
      <selection activeCell="G14" sqref="G14"/>
    </sheetView>
  </sheetViews>
  <sheetFormatPr defaultRowHeight="15" x14ac:dyDescent="0.25"/>
  <sheetData>
    <row r="2" spans="1:43" x14ac:dyDescent="0.25"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  <c r="AF2" t="e">
        <f>#REF!</f>
        <v>#REF!</v>
      </c>
      <c r="AG2" t="e">
        <f>#REF!</f>
        <v>#REF!</v>
      </c>
      <c r="AH2" t="e">
        <f>#REF!</f>
        <v>#REF!</v>
      </c>
      <c r="AI2" t="e">
        <f>#REF!</f>
        <v>#REF!</v>
      </c>
      <c r="AJ2" t="e">
        <f>#REF!</f>
        <v>#REF!</v>
      </c>
      <c r="AK2" t="e">
        <f>#REF!</f>
        <v>#REF!</v>
      </c>
      <c r="AL2" t="e">
        <f>#REF!</f>
        <v>#REF!</v>
      </c>
      <c r="AM2" t="e">
        <f>#REF!</f>
        <v>#REF!</v>
      </c>
      <c r="AN2" t="e">
        <f>#REF!</f>
        <v>#REF!</v>
      </c>
      <c r="AO2" t="e">
        <f>#REF!</f>
        <v>#REF!</v>
      </c>
      <c r="AP2" t="e">
        <f>#REF!</f>
        <v>#REF!</v>
      </c>
      <c r="AQ2" t="e">
        <f>#REF!</f>
        <v>#REF!</v>
      </c>
    </row>
    <row r="3" spans="1:43" x14ac:dyDescent="0.25"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s="366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  <c r="AF3" t="e">
        <f>#REF!</f>
        <v>#REF!</v>
      </c>
      <c r="AG3" t="e">
        <f>#REF!</f>
        <v>#REF!</v>
      </c>
      <c r="AH3" t="e">
        <f>#REF!</f>
        <v>#REF!</v>
      </c>
      <c r="AI3" t="e">
        <f>#REF!</f>
        <v>#REF!</v>
      </c>
      <c r="AJ3" t="e">
        <f>#REF!</f>
        <v>#REF!</v>
      </c>
      <c r="AK3" t="e">
        <f>#REF!</f>
        <v>#REF!</v>
      </c>
      <c r="AL3" t="e">
        <f>#REF!</f>
        <v>#REF!</v>
      </c>
      <c r="AM3" t="e">
        <f>#REF!</f>
        <v>#REF!</v>
      </c>
      <c r="AN3" t="e">
        <f>#REF!</f>
        <v>#REF!</v>
      </c>
      <c r="AO3" t="e">
        <f>#REF!</f>
        <v>#REF!</v>
      </c>
      <c r="AP3" t="e">
        <f>#REF!</f>
        <v>#REF!</v>
      </c>
      <c r="AQ3" t="e">
        <f>#REF!</f>
        <v>#REF!</v>
      </c>
    </row>
    <row r="4" spans="1:43" x14ac:dyDescent="0.25">
      <c r="B4" t="e">
        <f>#REF!</f>
        <v>#REF!</v>
      </c>
      <c r="C4" s="366" t="e">
        <f>#REF!</f>
        <v>#REF!</v>
      </c>
      <c r="D4" s="366" t="e">
        <f>#REF!</f>
        <v>#REF!</v>
      </c>
      <c r="E4" s="366" t="e">
        <f>#REF!</f>
        <v>#REF!</v>
      </c>
      <c r="F4" t="e">
        <f>#REF!</f>
        <v>#REF!</v>
      </c>
      <c r="G4" s="366" t="e">
        <f>#REF!</f>
        <v>#REF!</v>
      </c>
      <c r="H4" s="366" t="e">
        <f>#REF!</f>
        <v>#REF!</v>
      </c>
      <c r="I4" s="366" t="e">
        <f>#REF!</f>
        <v>#REF!</v>
      </c>
      <c r="J4" s="366" t="e">
        <f>#REF!</f>
        <v>#REF!</v>
      </c>
      <c r="K4" s="366" t="e">
        <f>#REF!</f>
        <v>#REF!</v>
      </c>
      <c r="L4" s="366" t="e">
        <f>#REF!</f>
        <v>#REF!</v>
      </c>
      <c r="M4" s="366" t="e">
        <f>#REF!</f>
        <v>#REF!</v>
      </c>
      <c r="N4" s="366" t="e">
        <f>#REF!</f>
        <v>#REF!</v>
      </c>
      <c r="O4" s="366" t="e">
        <f>#REF!</f>
        <v>#REF!</v>
      </c>
      <c r="P4" t="e">
        <f>#REF!</f>
        <v>#REF!</v>
      </c>
      <c r="Q4" s="366" t="e">
        <f>#REF!</f>
        <v>#REF!</v>
      </c>
      <c r="R4" s="366" t="e">
        <f>#REF!</f>
        <v>#REF!</v>
      </c>
      <c r="S4" s="366" t="e">
        <f>#REF!</f>
        <v>#REF!</v>
      </c>
      <c r="T4" t="e">
        <f>#REF!</f>
        <v>#REF!</v>
      </c>
      <c r="U4" s="366" t="e">
        <f>#REF!</f>
        <v>#REF!</v>
      </c>
      <c r="V4" s="366" t="e">
        <f>#REF!</f>
        <v>#REF!</v>
      </c>
      <c r="W4" s="366" t="e">
        <f>#REF!</f>
        <v>#REF!</v>
      </c>
      <c r="X4" s="366" t="e">
        <f>#REF!</f>
        <v>#REF!</v>
      </c>
      <c r="Y4" s="366" t="e">
        <f>#REF!</f>
        <v>#REF!</v>
      </c>
      <c r="Z4" s="366" t="e">
        <f>#REF!</f>
        <v>#REF!</v>
      </c>
      <c r="AA4" s="366" t="e">
        <f>#REF!</f>
        <v>#REF!</v>
      </c>
      <c r="AB4" s="366" t="e">
        <f>#REF!</f>
        <v>#REF!</v>
      </c>
      <c r="AC4" s="366" t="e">
        <f>#REF!</f>
        <v>#REF!</v>
      </c>
      <c r="AD4" s="366" t="e">
        <f>#REF!</f>
        <v>#REF!</v>
      </c>
      <c r="AE4" s="366" t="e">
        <f>#REF!</f>
        <v>#REF!</v>
      </c>
      <c r="AF4" s="366" t="e">
        <f>#REF!</f>
        <v>#REF!</v>
      </c>
      <c r="AG4" s="366" t="e">
        <f>#REF!</f>
        <v>#REF!</v>
      </c>
      <c r="AH4" s="366" t="e">
        <f>#REF!</f>
        <v>#REF!</v>
      </c>
      <c r="AI4" s="366" t="e">
        <f>#REF!</f>
        <v>#REF!</v>
      </c>
      <c r="AJ4" s="366" t="e">
        <f>#REF!</f>
        <v>#REF!</v>
      </c>
      <c r="AK4" s="366" t="e">
        <f>#REF!</f>
        <v>#REF!</v>
      </c>
      <c r="AL4" s="366" t="e">
        <f>#REF!</f>
        <v>#REF!</v>
      </c>
      <c r="AM4" s="366" t="e">
        <f>#REF!</f>
        <v>#REF!</v>
      </c>
      <c r="AN4" s="366" t="e">
        <f>#REF!</f>
        <v>#REF!</v>
      </c>
      <c r="AO4" s="366" t="e">
        <f>#REF!</f>
        <v>#REF!</v>
      </c>
      <c r="AP4" s="366" t="e">
        <f>#REF!</f>
        <v>#REF!</v>
      </c>
      <c r="AQ4" s="366" t="e">
        <f>#REF!</f>
        <v>#REF!</v>
      </c>
    </row>
    <row r="5" spans="1:43" x14ac:dyDescent="0.25">
      <c r="B5" t="e">
        <f>IF(B4=TRUE,1,0)</f>
        <v>#REF!</v>
      </c>
      <c r="C5" t="e">
        <f t="shared" ref="C5:AQ5" si="0">IF(C4=TRUE,1,0)</f>
        <v>#REF!</v>
      </c>
      <c r="D5" t="e">
        <f t="shared" si="0"/>
        <v>#REF!</v>
      </c>
      <c r="E5" t="e">
        <f t="shared" si="0"/>
        <v>#REF!</v>
      </c>
      <c r="F5" t="e">
        <f t="shared" si="0"/>
        <v>#REF!</v>
      </c>
      <c r="G5" t="e">
        <f t="shared" si="0"/>
        <v>#REF!</v>
      </c>
      <c r="H5" t="e">
        <f t="shared" si="0"/>
        <v>#REF!</v>
      </c>
      <c r="I5" t="e">
        <f t="shared" si="0"/>
        <v>#REF!</v>
      </c>
      <c r="J5" t="e">
        <f t="shared" si="0"/>
        <v>#REF!</v>
      </c>
      <c r="K5" t="e">
        <f t="shared" si="0"/>
        <v>#REF!</v>
      </c>
      <c r="L5" t="e">
        <f t="shared" si="0"/>
        <v>#REF!</v>
      </c>
      <c r="M5" t="e">
        <f t="shared" si="0"/>
        <v>#REF!</v>
      </c>
      <c r="N5" t="e">
        <f t="shared" si="0"/>
        <v>#REF!</v>
      </c>
      <c r="O5" t="e">
        <f t="shared" si="0"/>
        <v>#REF!</v>
      </c>
      <c r="P5" t="e">
        <f t="shared" si="0"/>
        <v>#REF!</v>
      </c>
      <c r="Q5" t="e">
        <f t="shared" si="0"/>
        <v>#REF!</v>
      </c>
      <c r="R5" t="e">
        <f t="shared" si="0"/>
        <v>#REF!</v>
      </c>
      <c r="S5" t="e">
        <f t="shared" si="0"/>
        <v>#REF!</v>
      </c>
      <c r="T5" t="e">
        <f t="shared" si="0"/>
        <v>#REF!</v>
      </c>
      <c r="U5" t="e">
        <f t="shared" si="0"/>
        <v>#REF!</v>
      </c>
      <c r="V5" t="e">
        <f t="shared" si="0"/>
        <v>#REF!</v>
      </c>
      <c r="W5" t="e">
        <f t="shared" si="0"/>
        <v>#REF!</v>
      </c>
      <c r="X5" t="e">
        <f t="shared" si="0"/>
        <v>#REF!</v>
      </c>
      <c r="Y5" t="e">
        <f t="shared" si="0"/>
        <v>#REF!</v>
      </c>
      <c r="Z5" t="e">
        <f t="shared" si="0"/>
        <v>#REF!</v>
      </c>
      <c r="AA5" t="e">
        <f t="shared" si="0"/>
        <v>#REF!</v>
      </c>
      <c r="AB5" t="e">
        <f t="shared" si="0"/>
        <v>#REF!</v>
      </c>
      <c r="AC5" t="e">
        <f t="shared" si="0"/>
        <v>#REF!</v>
      </c>
      <c r="AD5" t="e">
        <f t="shared" si="0"/>
        <v>#REF!</v>
      </c>
      <c r="AE5" t="e">
        <f t="shared" si="0"/>
        <v>#REF!</v>
      </c>
      <c r="AF5" t="e">
        <f t="shared" si="0"/>
        <v>#REF!</v>
      </c>
      <c r="AG5" t="e">
        <f t="shared" si="0"/>
        <v>#REF!</v>
      </c>
      <c r="AH5" t="e">
        <f t="shared" si="0"/>
        <v>#REF!</v>
      </c>
      <c r="AI5" t="e">
        <f t="shared" si="0"/>
        <v>#REF!</v>
      </c>
      <c r="AJ5" t="e">
        <f t="shared" si="0"/>
        <v>#REF!</v>
      </c>
      <c r="AK5" t="e">
        <f t="shared" si="0"/>
        <v>#REF!</v>
      </c>
      <c r="AL5" t="e">
        <f t="shared" si="0"/>
        <v>#REF!</v>
      </c>
      <c r="AM5" t="e">
        <f t="shared" si="0"/>
        <v>#REF!</v>
      </c>
      <c r="AN5" t="e">
        <f t="shared" si="0"/>
        <v>#REF!</v>
      </c>
      <c r="AO5" t="e">
        <f t="shared" si="0"/>
        <v>#REF!</v>
      </c>
      <c r="AP5" t="e">
        <f t="shared" si="0"/>
        <v>#REF!</v>
      </c>
      <c r="AQ5" t="e">
        <f t="shared" si="0"/>
        <v>#REF!</v>
      </c>
    </row>
    <row r="7" spans="1:43" x14ac:dyDescent="0.25">
      <c r="A7" t="s">
        <v>556</v>
      </c>
      <c r="B7" t="e">
        <f>IF(SUM(B5:AQ5)=42,TRUE,FALSE)</f>
        <v>#REF!</v>
      </c>
    </row>
    <row r="8" spans="1:43" x14ac:dyDescent="0.25">
      <c r="A8" t="s">
        <v>557</v>
      </c>
      <c r="B8" t="e">
        <f>IF(SUM(C5:E5,H5,T5:AA5,AC5:AQ5,I5)&gt;=28,TRUE,FALSE)</f>
        <v>#REF!</v>
      </c>
      <c r="D8" t="s">
        <v>560</v>
      </c>
      <c r="E8" t="e">
        <f>IF(B7=TRUE,"Зелена",IF(B8=TRUE,"Синя",IF(B9=TRUE,"Жовта","Червона")))</f>
        <v>#REF!</v>
      </c>
    </row>
    <row r="9" spans="1:43" x14ac:dyDescent="0.25">
      <c r="A9" t="s">
        <v>558</v>
      </c>
      <c r="B9" t="e">
        <f>IF(SUM(C5,T5:AA5,AD5)&gt;=9,TRUE,FALSE)</f>
        <v>#REF!</v>
      </c>
    </row>
    <row r="10" spans="1:43" x14ac:dyDescent="0.25">
      <c r="A10" t="s">
        <v>559</v>
      </c>
      <c r="B10" t="e">
        <f>IF(SUM(C5,T5:AA5,AD5)&lt;9,TRUE,FALSE)</f>
        <v>#REF!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Аркуш2">
    <tabColor rgb="FF92D050"/>
  </sheetPr>
  <dimension ref="A1:AR130"/>
  <sheetViews>
    <sheetView showGridLines="0" topLeftCell="A26" zoomScale="60" zoomScaleNormal="60" zoomScaleSheetLayoutView="40" zoomScalePageLayoutView="50" workbookViewId="0">
      <selection activeCell="A21" sqref="A21:XFD21"/>
    </sheetView>
  </sheetViews>
  <sheetFormatPr defaultRowHeight="18.75" x14ac:dyDescent="0.25"/>
  <cols>
    <col min="1" max="1" width="9.42578125" style="26" customWidth="1"/>
    <col min="2" max="2" width="10.42578125" style="1" customWidth="1"/>
    <col min="3" max="3" width="27.85546875" style="2" customWidth="1"/>
    <col min="4" max="4" width="10.42578125" style="96" customWidth="1"/>
    <col min="5" max="5" width="32.85546875" style="96" customWidth="1"/>
    <col min="6" max="6" width="25.140625" style="96" customWidth="1"/>
    <col min="7" max="8" width="28.140625" style="4" customWidth="1"/>
    <col min="9" max="9" width="22.5703125" style="4" customWidth="1"/>
    <col min="10" max="10" width="33.42578125" style="4" customWidth="1"/>
    <col min="11" max="11" width="21.5703125" style="16" customWidth="1"/>
    <col min="12" max="12" width="27.85546875" style="14" customWidth="1"/>
    <col min="13" max="13" width="20.5703125" style="14" customWidth="1"/>
    <col min="14" max="14" width="23" style="14" customWidth="1"/>
    <col min="15" max="15" width="39.140625" style="2" customWidth="1"/>
    <col min="16" max="16" width="43.5703125" style="131" customWidth="1"/>
    <col min="17" max="17" width="18.42578125" style="131" customWidth="1"/>
    <col min="18" max="18" width="17.140625" style="131" customWidth="1"/>
    <col min="19" max="19" width="9.140625" style="130" customWidth="1"/>
    <col min="20" max="44" width="8.85546875" style="130"/>
    <col min="45" max="246" width="8.85546875" style="2"/>
    <col min="247" max="247" width="78.5703125" style="2" customWidth="1"/>
    <col min="248" max="250" width="19.42578125" style="2" customWidth="1"/>
    <col min="251" max="502" width="8.85546875" style="2"/>
    <col min="503" max="503" width="78.5703125" style="2" customWidth="1"/>
    <col min="504" max="506" width="19.42578125" style="2" customWidth="1"/>
    <col min="507" max="758" width="8.85546875" style="2"/>
    <col min="759" max="759" width="78.5703125" style="2" customWidth="1"/>
    <col min="760" max="762" width="19.42578125" style="2" customWidth="1"/>
    <col min="763" max="1014" width="8.85546875" style="2"/>
    <col min="1015" max="1015" width="78.5703125" style="2" customWidth="1"/>
    <col min="1016" max="1018" width="19.42578125" style="2" customWidth="1"/>
    <col min="1019" max="1270" width="8.85546875" style="2"/>
    <col min="1271" max="1271" width="78.5703125" style="2" customWidth="1"/>
    <col min="1272" max="1274" width="19.42578125" style="2" customWidth="1"/>
    <col min="1275" max="1526" width="8.85546875" style="2"/>
    <col min="1527" max="1527" width="78.5703125" style="2" customWidth="1"/>
    <col min="1528" max="1530" width="19.42578125" style="2" customWidth="1"/>
    <col min="1531" max="1782" width="8.85546875" style="2"/>
    <col min="1783" max="1783" width="78.5703125" style="2" customWidth="1"/>
    <col min="1784" max="1786" width="19.42578125" style="2" customWidth="1"/>
    <col min="1787" max="2038" width="8.85546875" style="2"/>
    <col min="2039" max="2039" width="78.5703125" style="2" customWidth="1"/>
    <col min="2040" max="2042" width="19.42578125" style="2" customWidth="1"/>
    <col min="2043" max="2294" width="8.85546875" style="2"/>
    <col min="2295" max="2295" width="78.5703125" style="2" customWidth="1"/>
    <col min="2296" max="2298" width="19.42578125" style="2" customWidth="1"/>
    <col min="2299" max="2550" width="8.85546875" style="2"/>
    <col min="2551" max="2551" width="78.5703125" style="2" customWidth="1"/>
    <col min="2552" max="2554" width="19.42578125" style="2" customWidth="1"/>
    <col min="2555" max="2806" width="8.85546875" style="2"/>
    <col min="2807" max="2807" width="78.5703125" style="2" customWidth="1"/>
    <col min="2808" max="2810" width="19.42578125" style="2" customWidth="1"/>
    <col min="2811" max="3062" width="8.85546875" style="2"/>
    <col min="3063" max="3063" width="78.5703125" style="2" customWidth="1"/>
    <col min="3064" max="3066" width="19.42578125" style="2" customWidth="1"/>
    <col min="3067" max="3318" width="8.85546875" style="2"/>
    <col min="3319" max="3319" width="78.5703125" style="2" customWidth="1"/>
    <col min="3320" max="3322" width="19.42578125" style="2" customWidth="1"/>
    <col min="3323" max="3574" width="8.85546875" style="2"/>
    <col min="3575" max="3575" width="78.5703125" style="2" customWidth="1"/>
    <col min="3576" max="3578" width="19.42578125" style="2" customWidth="1"/>
    <col min="3579" max="3830" width="8.85546875" style="2"/>
    <col min="3831" max="3831" width="78.5703125" style="2" customWidth="1"/>
    <col min="3832" max="3834" width="19.42578125" style="2" customWidth="1"/>
    <col min="3835" max="4086" width="8.85546875" style="2"/>
    <col min="4087" max="4087" width="78.5703125" style="2" customWidth="1"/>
    <col min="4088" max="4090" width="19.42578125" style="2" customWidth="1"/>
    <col min="4091" max="4342" width="8.85546875" style="2"/>
    <col min="4343" max="4343" width="78.5703125" style="2" customWidth="1"/>
    <col min="4344" max="4346" width="19.42578125" style="2" customWidth="1"/>
    <col min="4347" max="4598" width="8.85546875" style="2"/>
    <col min="4599" max="4599" width="78.5703125" style="2" customWidth="1"/>
    <col min="4600" max="4602" width="19.42578125" style="2" customWidth="1"/>
    <col min="4603" max="4854" width="8.85546875" style="2"/>
    <col min="4855" max="4855" width="78.5703125" style="2" customWidth="1"/>
    <col min="4856" max="4858" width="19.42578125" style="2" customWidth="1"/>
    <col min="4859" max="5110" width="8.85546875" style="2"/>
    <col min="5111" max="5111" width="78.5703125" style="2" customWidth="1"/>
    <col min="5112" max="5114" width="19.42578125" style="2" customWidth="1"/>
    <col min="5115" max="5366" width="8.85546875" style="2"/>
    <col min="5367" max="5367" width="78.5703125" style="2" customWidth="1"/>
    <col min="5368" max="5370" width="19.42578125" style="2" customWidth="1"/>
    <col min="5371" max="5622" width="8.85546875" style="2"/>
    <col min="5623" max="5623" width="78.5703125" style="2" customWidth="1"/>
    <col min="5624" max="5626" width="19.42578125" style="2" customWidth="1"/>
    <col min="5627" max="5878" width="8.85546875" style="2"/>
    <col min="5879" max="5879" width="78.5703125" style="2" customWidth="1"/>
    <col min="5880" max="5882" width="19.42578125" style="2" customWidth="1"/>
    <col min="5883" max="6134" width="8.85546875" style="2"/>
    <col min="6135" max="6135" width="78.5703125" style="2" customWidth="1"/>
    <col min="6136" max="6138" width="19.42578125" style="2" customWidth="1"/>
    <col min="6139" max="6390" width="8.85546875" style="2"/>
    <col min="6391" max="6391" width="78.5703125" style="2" customWidth="1"/>
    <col min="6392" max="6394" width="19.42578125" style="2" customWidth="1"/>
    <col min="6395" max="6646" width="8.85546875" style="2"/>
    <col min="6647" max="6647" width="78.5703125" style="2" customWidth="1"/>
    <col min="6648" max="6650" width="19.42578125" style="2" customWidth="1"/>
    <col min="6651" max="6902" width="8.85546875" style="2"/>
    <col min="6903" max="6903" width="78.5703125" style="2" customWidth="1"/>
    <col min="6904" max="6906" width="19.42578125" style="2" customWidth="1"/>
    <col min="6907" max="7158" width="8.85546875" style="2"/>
    <col min="7159" max="7159" width="78.5703125" style="2" customWidth="1"/>
    <col min="7160" max="7162" width="19.42578125" style="2" customWidth="1"/>
    <col min="7163" max="7414" width="8.85546875" style="2"/>
    <col min="7415" max="7415" width="78.5703125" style="2" customWidth="1"/>
    <col min="7416" max="7418" width="19.42578125" style="2" customWidth="1"/>
    <col min="7419" max="7670" width="8.85546875" style="2"/>
    <col min="7671" max="7671" width="78.5703125" style="2" customWidth="1"/>
    <col min="7672" max="7674" width="19.42578125" style="2" customWidth="1"/>
    <col min="7675" max="7926" width="8.85546875" style="2"/>
    <col min="7927" max="7927" width="78.5703125" style="2" customWidth="1"/>
    <col min="7928" max="7930" width="19.42578125" style="2" customWidth="1"/>
    <col min="7931" max="8182" width="8.85546875" style="2"/>
    <col min="8183" max="8183" width="78.5703125" style="2" customWidth="1"/>
    <col min="8184" max="8186" width="19.42578125" style="2" customWidth="1"/>
    <col min="8187" max="8438" width="8.85546875" style="2"/>
    <col min="8439" max="8439" width="78.5703125" style="2" customWidth="1"/>
    <col min="8440" max="8442" width="19.42578125" style="2" customWidth="1"/>
    <col min="8443" max="8694" width="8.85546875" style="2"/>
    <col min="8695" max="8695" width="78.5703125" style="2" customWidth="1"/>
    <col min="8696" max="8698" width="19.42578125" style="2" customWidth="1"/>
    <col min="8699" max="8950" width="8.85546875" style="2"/>
    <col min="8951" max="8951" width="78.5703125" style="2" customWidth="1"/>
    <col min="8952" max="8954" width="19.42578125" style="2" customWidth="1"/>
    <col min="8955" max="9206" width="8.85546875" style="2"/>
    <col min="9207" max="9207" width="78.5703125" style="2" customWidth="1"/>
    <col min="9208" max="9210" width="19.42578125" style="2" customWidth="1"/>
    <col min="9211" max="9462" width="8.85546875" style="2"/>
    <col min="9463" max="9463" width="78.5703125" style="2" customWidth="1"/>
    <col min="9464" max="9466" width="19.42578125" style="2" customWidth="1"/>
    <col min="9467" max="9718" width="8.85546875" style="2"/>
    <col min="9719" max="9719" width="78.5703125" style="2" customWidth="1"/>
    <col min="9720" max="9722" width="19.42578125" style="2" customWidth="1"/>
    <col min="9723" max="9974" width="8.85546875" style="2"/>
    <col min="9975" max="9975" width="78.5703125" style="2" customWidth="1"/>
    <col min="9976" max="9978" width="19.42578125" style="2" customWidth="1"/>
    <col min="9979" max="10230" width="8.85546875" style="2"/>
    <col min="10231" max="10231" width="78.5703125" style="2" customWidth="1"/>
    <col min="10232" max="10234" width="19.42578125" style="2" customWidth="1"/>
    <col min="10235" max="10486" width="8.85546875" style="2"/>
    <col min="10487" max="10487" width="78.5703125" style="2" customWidth="1"/>
    <col min="10488" max="10490" width="19.42578125" style="2" customWidth="1"/>
    <col min="10491" max="10742" width="8.85546875" style="2"/>
    <col min="10743" max="10743" width="78.5703125" style="2" customWidth="1"/>
    <col min="10744" max="10746" width="19.42578125" style="2" customWidth="1"/>
    <col min="10747" max="10998" width="8.85546875" style="2"/>
    <col min="10999" max="10999" width="78.5703125" style="2" customWidth="1"/>
    <col min="11000" max="11002" width="19.42578125" style="2" customWidth="1"/>
    <col min="11003" max="11254" width="8.85546875" style="2"/>
    <col min="11255" max="11255" width="78.5703125" style="2" customWidth="1"/>
    <col min="11256" max="11258" width="19.42578125" style="2" customWidth="1"/>
    <col min="11259" max="11510" width="8.85546875" style="2"/>
    <col min="11511" max="11511" width="78.5703125" style="2" customWidth="1"/>
    <col min="11512" max="11514" width="19.42578125" style="2" customWidth="1"/>
    <col min="11515" max="11766" width="8.85546875" style="2"/>
    <col min="11767" max="11767" width="78.5703125" style="2" customWidth="1"/>
    <col min="11768" max="11770" width="19.42578125" style="2" customWidth="1"/>
    <col min="11771" max="12022" width="8.85546875" style="2"/>
    <col min="12023" max="12023" width="78.5703125" style="2" customWidth="1"/>
    <col min="12024" max="12026" width="19.42578125" style="2" customWidth="1"/>
    <col min="12027" max="12278" width="8.85546875" style="2"/>
    <col min="12279" max="12279" width="78.5703125" style="2" customWidth="1"/>
    <col min="12280" max="12282" width="19.42578125" style="2" customWidth="1"/>
    <col min="12283" max="12534" width="8.85546875" style="2"/>
    <col min="12535" max="12535" width="78.5703125" style="2" customWidth="1"/>
    <col min="12536" max="12538" width="19.42578125" style="2" customWidth="1"/>
    <col min="12539" max="12790" width="8.85546875" style="2"/>
    <col min="12791" max="12791" width="78.5703125" style="2" customWidth="1"/>
    <col min="12792" max="12794" width="19.42578125" style="2" customWidth="1"/>
    <col min="12795" max="13046" width="8.85546875" style="2"/>
    <col min="13047" max="13047" width="78.5703125" style="2" customWidth="1"/>
    <col min="13048" max="13050" width="19.42578125" style="2" customWidth="1"/>
    <col min="13051" max="13302" width="8.85546875" style="2"/>
    <col min="13303" max="13303" width="78.5703125" style="2" customWidth="1"/>
    <col min="13304" max="13306" width="19.42578125" style="2" customWidth="1"/>
    <col min="13307" max="13558" width="8.85546875" style="2"/>
    <col min="13559" max="13559" width="78.5703125" style="2" customWidth="1"/>
    <col min="13560" max="13562" width="19.42578125" style="2" customWidth="1"/>
    <col min="13563" max="13814" width="8.85546875" style="2"/>
    <col min="13815" max="13815" width="78.5703125" style="2" customWidth="1"/>
    <col min="13816" max="13818" width="19.42578125" style="2" customWidth="1"/>
    <col min="13819" max="14070" width="8.85546875" style="2"/>
    <col min="14071" max="14071" width="78.5703125" style="2" customWidth="1"/>
    <col min="14072" max="14074" width="19.42578125" style="2" customWidth="1"/>
    <col min="14075" max="14326" width="8.85546875" style="2"/>
    <col min="14327" max="14327" width="78.5703125" style="2" customWidth="1"/>
    <col min="14328" max="14330" width="19.42578125" style="2" customWidth="1"/>
    <col min="14331" max="14582" width="8.85546875" style="2"/>
    <col min="14583" max="14583" width="78.5703125" style="2" customWidth="1"/>
    <col min="14584" max="14586" width="19.42578125" style="2" customWidth="1"/>
    <col min="14587" max="14838" width="8.85546875" style="2"/>
    <col min="14839" max="14839" width="78.5703125" style="2" customWidth="1"/>
    <col min="14840" max="14842" width="19.42578125" style="2" customWidth="1"/>
    <col min="14843" max="15094" width="8.85546875" style="2"/>
    <col min="15095" max="15095" width="78.5703125" style="2" customWidth="1"/>
    <col min="15096" max="15098" width="19.42578125" style="2" customWidth="1"/>
    <col min="15099" max="15350" width="8.85546875" style="2"/>
    <col min="15351" max="15351" width="78.5703125" style="2" customWidth="1"/>
    <col min="15352" max="15354" width="19.42578125" style="2" customWidth="1"/>
    <col min="15355" max="15606" width="8.85546875" style="2"/>
    <col min="15607" max="15607" width="78.5703125" style="2" customWidth="1"/>
    <col min="15608" max="15610" width="19.42578125" style="2" customWidth="1"/>
    <col min="15611" max="15862" width="8.85546875" style="2"/>
    <col min="15863" max="15863" width="78.5703125" style="2" customWidth="1"/>
    <col min="15864" max="15866" width="19.42578125" style="2" customWidth="1"/>
    <col min="15867" max="16118" width="8.85546875" style="2"/>
    <col min="16119" max="16119" width="78.5703125" style="2" customWidth="1"/>
    <col min="16120" max="16122" width="19.42578125" style="2" customWidth="1"/>
    <col min="16123" max="16384" width="8.85546875" style="2"/>
  </cols>
  <sheetData>
    <row r="1" spans="1:44" ht="22.35" customHeight="1" x14ac:dyDescent="0.25">
      <c r="B1" s="1088" t="s">
        <v>0</v>
      </c>
      <c r="C1" s="1088"/>
      <c r="D1" s="1173">
        <v>37650571</v>
      </c>
      <c r="E1" s="1173"/>
      <c r="F1" s="1087" t="s">
        <v>1</v>
      </c>
      <c r="G1" s="1087"/>
      <c r="H1" s="945">
        <v>150</v>
      </c>
      <c r="J1" s="110"/>
      <c r="K1" s="110"/>
      <c r="L1" s="103"/>
      <c r="M1" s="595"/>
      <c r="N1" s="595"/>
      <c r="O1" s="385" t="s">
        <v>391</v>
      </c>
    </row>
    <row r="2" spans="1:44" ht="20.100000000000001" customHeight="1" x14ac:dyDescent="0.25">
      <c r="I2" s="2"/>
      <c r="J2" s="2"/>
      <c r="K2" s="2"/>
      <c r="L2" s="2"/>
      <c r="M2" s="2"/>
      <c r="N2" s="2"/>
    </row>
    <row r="3" spans="1:44" ht="32.450000000000003" customHeight="1" x14ac:dyDescent="0.25">
      <c r="A3" s="1152" t="s">
        <v>862</v>
      </c>
      <c r="B3" s="1152"/>
      <c r="C3" s="1152"/>
      <c r="D3" s="1152"/>
      <c r="E3" s="1152"/>
      <c r="F3" s="1152"/>
      <c r="G3" s="1152"/>
      <c r="H3" s="1152"/>
      <c r="I3" s="1152"/>
      <c r="J3" s="1152"/>
      <c r="K3" s="1152"/>
      <c r="L3" s="1152"/>
      <c r="M3" s="1152"/>
      <c r="N3" s="1152"/>
      <c r="O3" s="1152"/>
    </row>
    <row r="4" spans="1:44" s="68" customFormat="1" ht="24" customHeight="1" x14ac:dyDescent="0.25">
      <c r="A4" s="1179" t="s">
        <v>219</v>
      </c>
      <c r="B4" s="1180"/>
      <c r="C4" s="1181"/>
      <c r="D4" s="1185" t="s">
        <v>347</v>
      </c>
      <c r="E4" s="1186"/>
      <c r="F4" s="1186"/>
      <c r="G4" s="1186"/>
      <c r="H4" s="1186"/>
      <c r="I4" s="1186"/>
      <c r="J4" s="1187"/>
      <c r="K4" s="2"/>
      <c r="L4" s="4"/>
      <c r="M4" s="4"/>
      <c r="N4" s="4"/>
      <c r="O4" s="2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</row>
    <row r="5" spans="1:44" s="68" customFormat="1" ht="24" customHeight="1" x14ac:dyDescent="0.25">
      <c r="A5" s="1182" t="s">
        <v>2</v>
      </c>
      <c r="B5" s="1183"/>
      <c r="C5" s="1184"/>
      <c r="D5" s="1185" t="s">
        <v>240</v>
      </c>
      <c r="E5" s="1186"/>
      <c r="F5" s="1186"/>
      <c r="G5" s="1186"/>
      <c r="H5" s="1186"/>
      <c r="I5" s="1186"/>
      <c r="J5" s="1187"/>
      <c r="K5" s="96"/>
      <c r="L5" s="21"/>
      <c r="M5" s="21"/>
      <c r="N5" s="21"/>
      <c r="O5" s="22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</row>
    <row r="6" spans="1:44" s="68" customFormat="1" ht="30.6" customHeight="1" x14ac:dyDescent="0.25">
      <c r="A6" s="1153" t="s">
        <v>854</v>
      </c>
      <c r="B6" s="1153"/>
      <c r="C6" s="1153"/>
      <c r="D6" s="1153"/>
      <c r="E6" s="1153"/>
      <c r="F6" s="1153"/>
      <c r="G6" s="1153"/>
      <c r="H6" s="96"/>
      <c r="I6" s="96"/>
      <c r="J6" s="96"/>
      <c r="K6" s="96"/>
      <c r="L6" s="21"/>
      <c r="M6" s="21"/>
      <c r="N6" s="21"/>
      <c r="O6" s="22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</row>
    <row r="7" spans="1:44" s="68" customFormat="1" ht="23.1" customHeight="1" x14ac:dyDescent="0.25">
      <c r="A7" s="1174" t="s">
        <v>4</v>
      </c>
      <c r="B7" s="1175"/>
      <c r="C7" s="1175"/>
      <c r="D7" s="1175"/>
      <c r="E7" s="1175"/>
      <c r="F7" s="1175"/>
      <c r="G7" s="1176"/>
      <c r="H7" s="1154" t="s">
        <v>867</v>
      </c>
      <c r="I7" s="1154"/>
      <c r="J7" s="1154"/>
      <c r="K7" s="1154"/>
      <c r="L7" s="1154"/>
      <c r="M7" s="1154"/>
      <c r="N7" s="1154"/>
      <c r="O7" s="1155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</row>
    <row r="8" spans="1:44" s="68" customFormat="1" ht="27" customHeight="1" x14ac:dyDescent="0.25">
      <c r="A8" s="1174" t="s">
        <v>328</v>
      </c>
      <c r="B8" s="1175" t="s">
        <v>87</v>
      </c>
      <c r="C8" s="1175" t="s">
        <v>87</v>
      </c>
      <c r="D8" s="1175"/>
      <c r="E8" s="1175"/>
      <c r="F8" s="1175"/>
      <c r="G8" s="1176"/>
      <c r="H8" s="1154" t="s">
        <v>868</v>
      </c>
      <c r="I8" s="1154"/>
      <c r="J8" s="1154"/>
      <c r="K8" s="1154"/>
      <c r="L8" s="1154"/>
      <c r="M8" s="1154"/>
      <c r="N8" s="1154"/>
      <c r="O8" s="1155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</row>
    <row r="9" spans="1:44" s="68" customFormat="1" ht="26.1" customHeight="1" x14ac:dyDescent="0.25">
      <c r="A9" s="1174" t="s">
        <v>88</v>
      </c>
      <c r="B9" s="1175"/>
      <c r="C9" s="1175"/>
      <c r="D9" s="1175"/>
      <c r="E9" s="1175"/>
      <c r="F9" s="1175"/>
      <c r="G9" s="1176"/>
      <c r="H9" s="1154" t="s">
        <v>869</v>
      </c>
      <c r="I9" s="1154"/>
      <c r="J9" s="1154"/>
      <c r="K9" s="1154"/>
      <c r="L9" s="1154"/>
      <c r="M9" s="1154"/>
      <c r="N9" s="1154"/>
      <c r="O9" s="1155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</row>
    <row r="10" spans="1:44" s="68" customFormat="1" ht="22.35" customHeight="1" x14ac:dyDescent="0.25">
      <c r="A10" s="1174" t="s">
        <v>5</v>
      </c>
      <c r="B10" s="1175"/>
      <c r="C10" s="1175"/>
      <c r="D10" s="1175"/>
      <c r="E10" s="1175"/>
      <c r="F10" s="1175"/>
      <c r="G10" s="1176"/>
      <c r="H10" s="1154" t="s">
        <v>870</v>
      </c>
      <c r="I10" s="1154"/>
      <c r="J10" s="1154"/>
      <c r="K10" s="1154"/>
      <c r="L10" s="1154"/>
      <c r="M10" s="1154"/>
      <c r="N10" s="1154"/>
      <c r="O10" s="1155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</row>
    <row r="11" spans="1:44" s="68" customFormat="1" ht="22.35" customHeight="1" x14ac:dyDescent="0.25">
      <c r="A11" s="597"/>
      <c r="B11" s="597"/>
      <c r="C11" s="597"/>
      <c r="D11" s="597"/>
      <c r="E11" s="597"/>
      <c r="F11" s="597"/>
      <c r="G11" s="597"/>
      <c r="H11" s="598"/>
      <c r="I11" s="598"/>
      <c r="J11" s="598"/>
      <c r="K11" s="598"/>
      <c r="L11" s="598"/>
      <c r="M11" s="598"/>
      <c r="N11" s="598"/>
      <c r="O11" s="598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</row>
    <row r="12" spans="1:44" s="68" customFormat="1" ht="21.6" customHeight="1" thickBot="1" x14ac:dyDescent="0.3">
      <c r="A12" s="1084" t="s">
        <v>686</v>
      </c>
      <c r="B12" s="1084"/>
      <c r="C12" s="1084"/>
      <c r="D12" s="1084"/>
      <c r="E12" s="1084"/>
      <c r="F12" s="5"/>
      <c r="G12" s="5"/>
      <c r="H12" s="5"/>
      <c r="I12" s="5"/>
      <c r="J12" s="1178" t="s">
        <v>305</v>
      </c>
      <c r="K12" s="1178"/>
      <c r="L12" s="1178"/>
      <c r="M12" s="1178"/>
      <c r="N12" s="1178"/>
      <c r="O12" s="1178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</row>
    <row r="13" spans="1:44" s="68" customFormat="1" ht="29.45" customHeight="1" thickBot="1" x14ac:dyDescent="0.3">
      <c r="A13" s="1169" t="s">
        <v>6</v>
      </c>
      <c r="B13" s="1089" t="s">
        <v>7</v>
      </c>
      <c r="C13" s="1089"/>
      <c r="D13" s="1089"/>
      <c r="E13" s="1111"/>
      <c r="F13" s="1114" t="s">
        <v>583</v>
      </c>
      <c r="G13" s="1135" t="s">
        <v>640</v>
      </c>
      <c r="H13" s="1129"/>
      <c r="I13" s="1129"/>
      <c r="J13" s="1129"/>
      <c r="K13" s="1129"/>
      <c r="L13" s="1129"/>
      <c r="M13" s="1167"/>
      <c r="N13" s="1167"/>
      <c r="O13" s="1168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</row>
    <row r="14" spans="1:44" s="68" customFormat="1" ht="29.45" customHeight="1" thickBot="1" x14ac:dyDescent="0.3">
      <c r="A14" s="1170"/>
      <c r="B14" s="1112"/>
      <c r="C14" s="1112"/>
      <c r="D14" s="1112"/>
      <c r="E14" s="1113"/>
      <c r="F14" s="1115"/>
      <c r="G14" s="1098" t="s">
        <v>208</v>
      </c>
      <c r="H14" s="1101" t="s">
        <v>641</v>
      </c>
      <c r="I14" s="1102"/>
      <c r="J14" s="1102"/>
      <c r="K14" s="1102"/>
      <c r="L14" s="1102"/>
      <c r="M14" s="1102"/>
      <c r="N14" s="1102"/>
      <c r="O14" s="1103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</row>
    <row r="15" spans="1:44" s="68" customFormat="1" ht="29.45" customHeight="1" x14ac:dyDescent="0.25">
      <c r="A15" s="1170"/>
      <c r="B15" s="1112"/>
      <c r="C15" s="1112"/>
      <c r="D15" s="1112"/>
      <c r="E15" s="1113"/>
      <c r="F15" s="1115"/>
      <c r="G15" s="1099"/>
      <c r="H15" s="1105" t="s">
        <v>575</v>
      </c>
      <c r="I15" s="1108" t="s">
        <v>696</v>
      </c>
      <c r="J15" s="1109"/>
      <c r="K15" s="1109"/>
      <c r="L15" s="1109"/>
      <c r="M15" s="1109"/>
      <c r="N15" s="1110"/>
      <c r="O15" s="1171" t="s">
        <v>587</v>
      </c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</row>
    <row r="16" spans="1:44" s="68" customFormat="1" ht="43.35" customHeight="1" x14ac:dyDescent="0.25">
      <c r="A16" s="1170"/>
      <c r="B16" s="1112"/>
      <c r="C16" s="1112"/>
      <c r="D16" s="1112"/>
      <c r="E16" s="1113"/>
      <c r="F16" s="1115"/>
      <c r="G16" s="1099"/>
      <c r="H16" s="1106"/>
      <c r="I16" s="1094" t="s">
        <v>218</v>
      </c>
      <c r="J16" s="1095"/>
      <c r="K16" s="1095" t="s">
        <v>199</v>
      </c>
      <c r="L16" s="1095"/>
      <c r="M16" s="1095" t="s">
        <v>13</v>
      </c>
      <c r="N16" s="1104"/>
      <c r="O16" s="1171"/>
      <c r="P16" s="131">
        <v>14</v>
      </c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</row>
    <row r="17" spans="1:44" s="68" customFormat="1" ht="52.35" customHeight="1" x14ac:dyDescent="0.25">
      <c r="A17" s="1170"/>
      <c r="B17" s="1112"/>
      <c r="C17" s="1112"/>
      <c r="D17" s="1112"/>
      <c r="E17" s="1113"/>
      <c r="F17" s="1115"/>
      <c r="G17" s="1100"/>
      <c r="H17" s="1107"/>
      <c r="I17" s="637" t="s">
        <v>83</v>
      </c>
      <c r="J17" s="594" t="s">
        <v>586</v>
      </c>
      <c r="K17" s="594" t="s">
        <v>83</v>
      </c>
      <c r="L17" s="594" t="s">
        <v>586</v>
      </c>
      <c r="M17" s="594" t="s">
        <v>83</v>
      </c>
      <c r="N17" s="638" t="s">
        <v>586</v>
      </c>
      <c r="O17" s="1172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</row>
    <row r="18" spans="1:44" s="68" customFormat="1" ht="30.6" customHeight="1" thickBot="1" x14ac:dyDescent="0.3">
      <c r="A18" s="667" t="s">
        <v>9</v>
      </c>
      <c r="B18" s="1156">
        <v>2</v>
      </c>
      <c r="C18" s="1156"/>
      <c r="D18" s="1156"/>
      <c r="E18" s="1157"/>
      <c r="F18" s="668">
        <v>3</v>
      </c>
      <c r="G18" s="669">
        <v>4</v>
      </c>
      <c r="H18" s="670">
        <v>5</v>
      </c>
      <c r="I18" s="671">
        <v>6</v>
      </c>
      <c r="J18" s="672">
        <v>7</v>
      </c>
      <c r="K18" s="672">
        <v>8</v>
      </c>
      <c r="L18" s="672">
        <v>9</v>
      </c>
      <c r="M18" s="672">
        <v>10</v>
      </c>
      <c r="N18" s="673">
        <v>11</v>
      </c>
      <c r="O18" s="670">
        <v>12</v>
      </c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</row>
    <row r="19" spans="1:44" s="68" customFormat="1" ht="38.1" customHeight="1" thickBot="1" x14ac:dyDescent="0.3">
      <c r="A19" s="674">
        <v>1</v>
      </c>
      <c r="B19" s="1158" t="s">
        <v>208</v>
      </c>
      <c r="C19" s="1158"/>
      <c r="D19" s="1158"/>
      <c r="E19" s="1159"/>
      <c r="F19" s="675">
        <v>0</v>
      </c>
      <c r="G19" s="676">
        <f>SUM(H19,I19,J19,K19,L19,O19,M19,N19)</f>
        <v>4297396.83</v>
      </c>
      <c r="H19" s="677">
        <f>'Дод_Надходж ПМГ '!E9</f>
        <v>2948311.8400000003</v>
      </c>
      <c r="I19" s="639">
        <v>0</v>
      </c>
      <c r="J19" s="640">
        <v>78995.72</v>
      </c>
      <c r="K19" s="640">
        <v>1259363.8400000001</v>
      </c>
      <c r="L19" s="640">
        <v>0</v>
      </c>
      <c r="M19" s="640">
        <v>0</v>
      </c>
      <c r="N19" s="641">
        <f>1383.6+120</f>
        <v>1503.6</v>
      </c>
      <c r="O19" s="677">
        <f>I48</f>
        <v>9221.83</v>
      </c>
      <c r="P19" s="277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</row>
    <row r="20" spans="1:44" s="68" customFormat="1" ht="25.7" customHeight="1" x14ac:dyDescent="0.25">
      <c r="A20" s="656"/>
      <c r="B20" s="657"/>
      <c r="C20" s="657"/>
      <c r="D20" s="657"/>
      <c r="E20" s="657"/>
      <c r="F20" s="388"/>
      <c r="G20" s="389"/>
      <c r="H20" s="389"/>
      <c r="I20" s="388"/>
      <c r="J20" s="388"/>
      <c r="K20" s="388"/>
      <c r="L20" s="388"/>
      <c r="M20" s="388"/>
      <c r="N20" s="388"/>
      <c r="O20" s="566"/>
      <c r="P20" s="277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</row>
    <row r="21" spans="1:44" s="297" customFormat="1" ht="30" customHeight="1" thickBot="1" x14ac:dyDescent="0.3">
      <c r="A21" s="1084" t="s">
        <v>848</v>
      </c>
      <c r="B21" s="1084"/>
      <c r="C21" s="1084"/>
      <c r="D21" s="1084"/>
      <c r="E21" s="1084"/>
      <c r="F21" s="388"/>
      <c r="G21" s="389"/>
      <c r="H21" s="389"/>
      <c r="I21" s="388"/>
      <c r="J21" s="388"/>
      <c r="K21" s="388"/>
      <c r="L21" s="388"/>
      <c r="M21" s="388"/>
      <c r="N21" s="388"/>
      <c r="O21" s="566"/>
      <c r="P21" s="387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</row>
    <row r="22" spans="1:44" s="297" customFormat="1" ht="31.35" customHeight="1" thickBot="1" x14ac:dyDescent="0.3">
      <c r="A22" s="1169" t="s">
        <v>6</v>
      </c>
      <c r="B22" s="1089" t="s">
        <v>7</v>
      </c>
      <c r="C22" s="1089"/>
      <c r="D22" s="1089"/>
      <c r="E22" s="1111"/>
      <c r="F22" s="1114" t="s">
        <v>583</v>
      </c>
      <c r="G22" s="1135" t="s">
        <v>640</v>
      </c>
      <c r="H22" s="1129"/>
      <c r="I22" s="1129"/>
      <c r="J22" s="1129"/>
      <c r="K22" s="1129"/>
      <c r="L22" s="1129"/>
      <c r="M22" s="1129"/>
      <c r="N22" s="1129"/>
      <c r="O22" s="1168"/>
      <c r="P22" s="387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</row>
    <row r="23" spans="1:44" s="297" customFormat="1" ht="39.6" customHeight="1" thickBot="1" x14ac:dyDescent="0.3">
      <c r="A23" s="1170"/>
      <c r="B23" s="1112"/>
      <c r="C23" s="1112"/>
      <c r="D23" s="1112"/>
      <c r="E23" s="1113"/>
      <c r="F23" s="1115"/>
      <c r="G23" s="1188" t="s">
        <v>849</v>
      </c>
      <c r="H23" s="1189" t="s">
        <v>641</v>
      </c>
      <c r="I23" s="1129"/>
      <c r="J23" s="1129"/>
      <c r="K23" s="1129"/>
      <c r="L23" s="1129"/>
      <c r="M23" s="1129"/>
      <c r="N23" s="1129"/>
      <c r="O23" s="1168"/>
      <c r="P23" s="387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</row>
    <row r="24" spans="1:44" s="297" customFormat="1" ht="31.7" customHeight="1" thickBot="1" x14ac:dyDescent="0.3">
      <c r="A24" s="1170"/>
      <c r="B24" s="1112"/>
      <c r="C24" s="1112"/>
      <c r="D24" s="1112"/>
      <c r="E24" s="1113"/>
      <c r="F24" s="1115"/>
      <c r="G24" s="1188"/>
      <c r="H24" s="1190" t="s">
        <v>846</v>
      </c>
      <c r="I24" s="1189" t="s">
        <v>695</v>
      </c>
      <c r="J24" s="1129"/>
      <c r="K24" s="1129"/>
      <c r="L24" s="1129"/>
      <c r="M24" s="1129"/>
      <c r="N24" s="1167"/>
      <c r="O24" s="1192" t="s">
        <v>587</v>
      </c>
      <c r="P24" s="387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</row>
    <row r="25" spans="1:44" s="297" customFormat="1" ht="64.7" customHeight="1" x14ac:dyDescent="0.25">
      <c r="A25" s="1170"/>
      <c r="B25" s="1112"/>
      <c r="C25" s="1112"/>
      <c r="D25" s="1112"/>
      <c r="E25" s="1113"/>
      <c r="F25" s="1115"/>
      <c r="G25" s="1188"/>
      <c r="H25" s="1191"/>
      <c r="I25" s="1194" t="s">
        <v>218</v>
      </c>
      <c r="J25" s="1195"/>
      <c r="K25" s="1195" t="s">
        <v>199</v>
      </c>
      <c r="L25" s="1195"/>
      <c r="M25" s="1195" t="s">
        <v>13</v>
      </c>
      <c r="N25" s="1196"/>
      <c r="O25" s="1193"/>
      <c r="P25" s="387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</row>
    <row r="26" spans="1:44" s="297" customFormat="1" ht="46.7" customHeight="1" x14ac:dyDescent="0.25">
      <c r="A26" s="1170"/>
      <c r="B26" s="1112"/>
      <c r="C26" s="1112"/>
      <c r="D26" s="1112"/>
      <c r="E26" s="1113"/>
      <c r="F26" s="1115"/>
      <c r="G26" s="1188"/>
      <c r="H26" s="1191"/>
      <c r="I26" s="637" t="s">
        <v>83</v>
      </c>
      <c r="J26" s="620" t="s">
        <v>586</v>
      </c>
      <c r="K26" s="620" t="s">
        <v>83</v>
      </c>
      <c r="L26" s="620" t="s">
        <v>586</v>
      </c>
      <c r="M26" s="620" t="s">
        <v>83</v>
      </c>
      <c r="N26" s="638" t="s">
        <v>586</v>
      </c>
      <c r="O26" s="1193"/>
      <c r="P26" s="387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</row>
    <row r="27" spans="1:44" s="297" customFormat="1" ht="24" customHeight="1" thickBot="1" x14ac:dyDescent="0.3">
      <c r="A27" s="667" t="s">
        <v>9</v>
      </c>
      <c r="B27" s="1156">
        <v>2</v>
      </c>
      <c r="C27" s="1156"/>
      <c r="D27" s="1156"/>
      <c r="E27" s="1157"/>
      <c r="F27" s="668">
        <v>3</v>
      </c>
      <c r="G27" s="669">
        <v>4</v>
      </c>
      <c r="H27" s="844">
        <v>5</v>
      </c>
      <c r="I27" s="855">
        <v>6</v>
      </c>
      <c r="J27" s="619">
        <v>7</v>
      </c>
      <c r="K27" s="619">
        <v>8</v>
      </c>
      <c r="L27" s="619">
        <v>9</v>
      </c>
      <c r="M27" s="619">
        <v>10</v>
      </c>
      <c r="N27" s="662">
        <v>11</v>
      </c>
      <c r="O27" s="849">
        <v>12</v>
      </c>
      <c r="P27" s="387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</row>
    <row r="28" spans="1:44" s="68" customFormat="1" ht="44.45" customHeight="1" x14ac:dyDescent="0.25">
      <c r="A28" s="678">
        <v>2</v>
      </c>
      <c r="B28" s="1163" t="s">
        <v>693</v>
      </c>
      <c r="C28" s="1163"/>
      <c r="D28" s="1163"/>
      <c r="E28" s="1164"/>
      <c r="F28" s="679">
        <f t="shared" ref="F28" si="0">SUM(F29+F36+F37+F38+F39+F40+F41+F42+F43)</f>
        <v>0</v>
      </c>
      <c r="G28" s="642">
        <f>SUM(H28,I28,J28,K28,L28,O28,M28+N28)</f>
        <v>316018.95999999996</v>
      </c>
      <c r="H28" s="845">
        <f>SUM(H29+H36+H37+H38+H39+H40+H41+H42+H43)</f>
        <v>59120.44</v>
      </c>
      <c r="I28" s="856">
        <f t="shared" ref="I28:O28" si="1">SUM(I29+I36+I37+I38+I39+I40+I41+I42+I43)</f>
        <v>0</v>
      </c>
      <c r="J28" s="854">
        <f t="shared" si="1"/>
        <v>78995.72</v>
      </c>
      <c r="K28" s="854">
        <f t="shared" si="1"/>
        <v>176399.2</v>
      </c>
      <c r="L28" s="854">
        <f t="shared" si="1"/>
        <v>0</v>
      </c>
      <c r="M28" s="854">
        <f t="shared" ref="M28:N28" si="2">SUM(M29+M36+M37+M38+M39+M40+M41+M42+M43)</f>
        <v>0</v>
      </c>
      <c r="N28" s="857">
        <f t="shared" si="2"/>
        <v>1503.6</v>
      </c>
      <c r="O28" s="850">
        <f t="shared" si="1"/>
        <v>0</v>
      </c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</row>
    <row r="29" spans="1:44" s="68" customFormat="1" ht="27.6" customHeight="1" x14ac:dyDescent="0.25">
      <c r="A29" s="608" t="s">
        <v>59</v>
      </c>
      <c r="B29" s="1116" t="s">
        <v>209</v>
      </c>
      <c r="C29" s="1116"/>
      <c r="D29" s="1116"/>
      <c r="E29" s="1117"/>
      <c r="F29" s="663">
        <f>SUM(F30:F34)</f>
        <v>0</v>
      </c>
      <c r="G29" s="635">
        <f>SUM(H29,I29,J29,K29,L29,O29,M29+N29)</f>
        <v>180315.36</v>
      </c>
      <c r="H29" s="846">
        <f>SUM(H30:H34)</f>
        <v>17920.439999999999</v>
      </c>
      <c r="I29" s="643">
        <f t="shared" ref="I29:O29" si="3">SUM(I30:I34)</f>
        <v>0</v>
      </c>
      <c r="J29" s="87">
        <f t="shared" si="3"/>
        <v>78995.72</v>
      </c>
      <c r="K29" s="87">
        <f t="shared" si="3"/>
        <v>83399.199999999997</v>
      </c>
      <c r="L29" s="87">
        <f t="shared" si="3"/>
        <v>0</v>
      </c>
      <c r="M29" s="87">
        <f t="shared" ref="M29:N29" si="4">SUM(M30:M34)</f>
        <v>0</v>
      </c>
      <c r="N29" s="858">
        <f t="shared" si="4"/>
        <v>0</v>
      </c>
      <c r="O29" s="851">
        <f t="shared" si="3"/>
        <v>0</v>
      </c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</row>
    <row r="30" spans="1:44" s="68" customFormat="1" ht="29.45" customHeight="1" x14ac:dyDescent="0.25">
      <c r="A30" s="33" t="s">
        <v>61</v>
      </c>
      <c r="B30" s="1096" t="s">
        <v>20</v>
      </c>
      <c r="C30" s="1096"/>
      <c r="D30" s="1096"/>
      <c r="E30" s="1097"/>
      <c r="F30" s="664">
        <v>0</v>
      </c>
      <c r="G30" s="635">
        <f>SUM(H30,I30,J30,K30,L30,O30,M30+N30)</f>
        <v>16520.439999999999</v>
      </c>
      <c r="H30" s="847">
        <v>16520.439999999999</v>
      </c>
      <c r="I30" s="644">
        <v>0</v>
      </c>
      <c r="J30" s="79">
        <v>0</v>
      </c>
      <c r="K30" s="79">
        <v>0</v>
      </c>
      <c r="L30" s="79">
        <v>0</v>
      </c>
      <c r="M30" s="79">
        <v>0</v>
      </c>
      <c r="N30" s="859">
        <v>0</v>
      </c>
      <c r="O30" s="852">
        <v>0</v>
      </c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</row>
    <row r="31" spans="1:44" s="68" customFormat="1" ht="30.6" customHeight="1" x14ac:dyDescent="0.25">
      <c r="A31" s="33" t="s">
        <v>62</v>
      </c>
      <c r="B31" s="1096" t="s">
        <v>395</v>
      </c>
      <c r="C31" s="1096"/>
      <c r="D31" s="1096"/>
      <c r="E31" s="1097"/>
      <c r="F31" s="664">
        <v>0</v>
      </c>
      <c r="G31" s="635">
        <f t="shared" ref="G31:G43" si="5">SUM(H31,I31,J31,K31,L31,O31,M31+N31)</f>
        <v>1400</v>
      </c>
      <c r="H31" s="847">
        <v>1400</v>
      </c>
      <c r="I31" s="644">
        <v>0</v>
      </c>
      <c r="J31" s="79">
        <v>0</v>
      </c>
      <c r="K31" s="79">
        <v>0</v>
      </c>
      <c r="L31" s="79">
        <v>0</v>
      </c>
      <c r="M31" s="79">
        <v>0</v>
      </c>
      <c r="N31" s="859">
        <v>0</v>
      </c>
      <c r="O31" s="852">
        <v>0</v>
      </c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</row>
    <row r="32" spans="1:44" s="68" customFormat="1" ht="82.7" customHeight="1" x14ac:dyDescent="0.25">
      <c r="A32" s="33" t="s">
        <v>63</v>
      </c>
      <c r="B32" s="1096" t="s">
        <v>94</v>
      </c>
      <c r="C32" s="1096"/>
      <c r="D32" s="1096"/>
      <c r="E32" s="1097"/>
      <c r="F32" s="664">
        <v>0</v>
      </c>
      <c r="G32" s="635">
        <f t="shared" si="5"/>
        <v>15648</v>
      </c>
      <c r="H32" s="847">
        <v>0</v>
      </c>
      <c r="I32" s="644">
        <v>0</v>
      </c>
      <c r="J32" s="79">
        <v>15648</v>
      </c>
      <c r="K32" s="79">
        <v>0</v>
      </c>
      <c r="L32" s="79">
        <v>0</v>
      </c>
      <c r="M32" s="79">
        <v>0</v>
      </c>
      <c r="N32" s="859">
        <v>0</v>
      </c>
      <c r="O32" s="852">
        <v>0</v>
      </c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</row>
    <row r="33" spans="1:44" s="68" customFormat="1" ht="30" customHeight="1" x14ac:dyDescent="0.25">
      <c r="A33" s="33" t="s">
        <v>85</v>
      </c>
      <c r="B33" s="1096" t="s">
        <v>95</v>
      </c>
      <c r="C33" s="1096"/>
      <c r="D33" s="1096"/>
      <c r="E33" s="1097"/>
      <c r="F33" s="664">
        <v>0</v>
      </c>
      <c r="G33" s="635">
        <f t="shared" si="5"/>
        <v>62757.08</v>
      </c>
      <c r="H33" s="847">
        <v>0</v>
      </c>
      <c r="I33" s="644">
        <v>0</v>
      </c>
      <c r="J33" s="79">
        <f>58968.28+3788.8</f>
        <v>62757.08</v>
      </c>
      <c r="K33" s="79">
        <v>0</v>
      </c>
      <c r="L33" s="79">
        <v>0</v>
      </c>
      <c r="M33" s="79">
        <v>0</v>
      </c>
      <c r="N33" s="859">
        <v>0</v>
      </c>
      <c r="O33" s="852">
        <v>0</v>
      </c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</row>
    <row r="34" spans="1:44" s="68" customFormat="1" ht="25.7" customHeight="1" x14ac:dyDescent="0.25">
      <c r="A34" s="33" t="s">
        <v>86</v>
      </c>
      <c r="B34" s="1160" t="s">
        <v>344</v>
      </c>
      <c r="C34" s="1161"/>
      <c r="D34" s="1161"/>
      <c r="E34" s="1162"/>
      <c r="F34" s="664">
        <v>0</v>
      </c>
      <c r="G34" s="635">
        <f t="shared" si="5"/>
        <v>83989.84</v>
      </c>
      <c r="H34" s="847">
        <v>0</v>
      </c>
      <c r="I34" s="644">
        <v>0</v>
      </c>
      <c r="J34" s="79">
        <v>590.64</v>
      </c>
      <c r="K34" s="79">
        <f>63799.2+19600</f>
        <v>83399.199999999997</v>
      </c>
      <c r="L34" s="79">
        <v>0</v>
      </c>
      <c r="M34" s="79">
        <v>0</v>
      </c>
      <c r="N34" s="859">
        <v>0</v>
      </c>
      <c r="O34" s="852">
        <v>0</v>
      </c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</row>
    <row r="35" spans="1:44" s="68" customFormat="1" ht="26.1" customHeight="1" x14ac:dyDescent="0.25">
      <c r="A35" s="31" t="s">
        <v>343</v>
      </c>
      <c r="B35" s="1165" t="s">
        <v>345</v>
      </c>
      <c r="C35" s="1165"/>
      <c r="D35" s="1165"/>
      <c r="E35" s="1166"/>
      <c r="F35" s="664">
        <v>0</v>
      </c>
      <c r="G35" s="635">
        <f t="shared" si="5"/>
        <v>83989.84</v>
      </c>
      <c r="H35" s="847">
        <v>0</v>
      </c>
      <c r="I35" s="644">
        <v>0</v>
      </c>
      <c r="J35" s="79">
        <v>590.64</v>
      </c>
      <c r="K35" s="79">
        <f>63799.2+19600</f>
        <v>83399.199999999997</v>
      </c>
      <c r="L35" s="79">
        <v>0</v>
      </c>
      <c r="M35" s="79">
        <v>0</v>
      </c>
      <c r="N35" s="859">
        <v>0</v>
      </c>
      <c r="O35" s="852">
        <v>0</v>
      </c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</row>
    <row r="36" spans="1:44" s="68" customFormat="1" ht="31.35" customHeight="1" x14ac:dyDescent="0.25">
      <c r="A36" s="608" t="s">
        <v>60</v>
      </c>
      <c r="B36" s="1116" t="s">
        <v>50</v>
      </c>
      <c r="C36" s="1116"/>
      <c r="D36" s="1116"/>
      <c r="E36" s="1117"/>
      <c r="F36" s="665">
        <v>0</v>
      </c>
      <c r="G36" s="635">
        <f t="shared" si="5"/>
        <v>0</v>
      </c>
      <c r="H36" s="847">
        <v>0</v>
      </c>
      <c r="I36" s="644">
        <v>0</v>
      </c>
      <c r="J36" s="79">
        <v>0</v>
      </c>
      <c r="K36" s="79">
        <v>0</v>
      </c>
      <c r="L36" s="79">
        <v>0</v>
      </c>
      <c r="M36" s="79">
        <v>0</v>
      </c>
      <c r="N36" s="859">
        <v>0</v>
      </c>
      <c r="O36" s="852">
        <v>0</v>
      </c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</row>
    <row r="37" spans="1:44" s="68" customFormat="1" ht="28.7" customHeight="1" x14ac:dyDescent="0.25">
      <c r="A37" s="608" t="s">
        <v>64</v>
      </c>
      <c r="B37" s="1116" t="s">
        <v>566</v>
      </c>
      <c r="C37" s="1116"/>
      <c r="D37" s="1116"/>
      <c r="E37" s="1117"/>
      <c r="F37" s="665">
        <v>0</v>
      </c>
      <c r="G37" s="635">
        <f t="shared" si="5"/>
        <v>68723.600000000006</v>
      </c>
      <c r="H37" s="847">
        <f>20225+18995</f>
        <v>39220</v>
      </c>
      <c r="I37" s="644">
        <v>0</v>
      </c>
      <c r="J37" s="79">
        <v>0</v>
      </c>
      <c r="K37" s="79">
        <v>28000</v>
      </c>
      <c r="L37" s="79">
        <v>0</v>
      </c>
      <c r="M37" s="79">
        <v>0</v>
      </c>
      <c r="N37" s="859">
        <v>1503.6</v>
      </c>
      <c r="O37" s="852">
        <v>0</v>
      </c>
      <c r="P37" s="135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</row>
    <row r="38" spans="1:44" s="68" customFormat="1" ht="27" customHeight="1" x14ac:dyDescent="0.25">
      <c r="A38" s="608" t="s">
        <v>65</v>
      </c>
      <c r="B38" s="1116" t="s">
        <v>51</v>
      </c>
      <c r="C38" s="1116"/>
      <c r="D38" s="1116"/>
      <c r="E38" s="1117"/>
      <c r="F38" s="665">
        <v>0</v>
      </c>
      <c r="G38" s="635">
        <f t="shared" si="5"/>
        <v>0</v>
      </c>
      <c r="H38" s="847">
        <v>0</v>
      </c>
      <c r="I38" s="644">
        <v>0</v>
      </c>
      <c r="J38" s="79">
        <v>0</v>
      </c>
      <c r="K38" s="79">
        <v>0</v>
      </c>
      <c r="L38" s="79">
        <v>0</v>
      </c>
      <c r="M38" s="79">
        <v>0</v>
      </c>
      <c r="N38" s="859">
        <v>0</v>
      </c>
      <c r="O38" s="852">
        <v>0</v>
      </c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</row>
    <row r="39" spans="1:44" s="68" customFormat="1" ht="24" customHeight="1" x14ac:dyDescent="0.25">
      <c r="A39" s="608" t="s">
        <v>66</v>
      </c>
      <c r="B39" s="1116" t="s">
        <v>22</v>
      </c>
      <c r="C39" s="1116"/>
      <c r="D39" s="1116"/>
      <c r="E39" s="1117"/>
      <c r="F39" s="665">
        <v>0</v>
      </c>
      <c r="G39" s="635">
        <f t="shared" si="5"/>
        <v>0</v>
      </c>
      <c r="H39" s="847">
        <v>0</v>
      </c>
      <c r="I39" s="644">
        <v>0</v>
      </c>
      <c r="J39" s="79">
        <v>0</v>
      </c>
      <c r="K39" s="79">
        <v>0</v>
      </c>
      <c r="L39" s="79">
        <v>0</v>
      </c>
      <c r="M39" s="79">
        <v>0</v>
      </c>
      <c r="N39" s="859">
        <v>0</v>
      </c>
      <c r="O39" s="852">
        <v>0</v>
      </c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</row>
    <row r="40" spans="1:44" s="68" customFormat="1" ht="27" customHeight="1" x14ac:dyDescent="0.25">
      <c r="A40" s="608" t="s">
        <v>67</v>
      </c>
      <c r="B40" s="1116" t="s">
        <v>52</v>
      </c>
      <c r="C40" s="1116"/>
      <c r="D40" s="1116"/>
      <c r="E40" s="1117"/>
      <c r="F40" s="665">
        <v>0</v>
      </c>
      <c r="G40" s="635">
        <f t="shared" si="5"/>
        <v>0</v>
      </c>
      <c r="H40" s="847">
        <v>0</v>
      </c>
      <c r="I40" s="644">
        <v>0</v>
      </c>
      <c r="J40" s="79">
        <v>0</v>
      </c>
      <c r="K40" s="79">
        <v>0</v>
      </c>
      <c r="L40" s="79">
        <v>0</v>
      </c>
      <c r="M40" s="79">
        <v>0</v>
      </c>
      <c r="N40" s="859">
        <v>0</v>
      </c>
      <c r="O40" s="852">
        <v>0</v>
      </c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</row>
    <row r="41" spans="1:44" s="68" customFormat="1" ht="24.6" customHeight="1" x14ac:dyDescent="0.25">
      <c r="A41" s="608" t="s">
        <v>68</v>
      </c>
      <c r="B41" s="1116" t="s">
        <v>53</v>
      </c>
      <c r="C41" s="1116"/>
      <c r="D41" s="1116"/>
      <c r="E41" s="1117"/>
      <c r="F41" s="665">
        <v>0</v>
      </c>
      <c r="G41" s="635">
        <f t="shared" si="5"/>
        <v>0</v>
      </c>
      <c r="H41" s="847">
        <v>0</v>
      </c>
      <c r="I41" s="644">
        <v>0</v>
      </c>
      <c r="J41" s="79">
        <v>0</v>
      </c>
      <c r="K41" s="79">
        <v>0</v>
      </c>
      <c r="L41" s="79">
        <v>0</v>
      </c>
      <c r="M41" s="79">
        <v>0</v>
      </c>
      <c r="N41" s="859">
        <v>0</v>
      </c>
      <c r="O41" s="852">
        <v>0</v>
      </c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</row>
    <row r="42" spans="1:44" ht="31.35" customHeight="1" x14ac:dyDescent="0.25">
      <c r="A42" s="608" t="s">
        <v>69</v>
      </c>
      <c r="B42" s="1116" t="s">
        <v>408</v>
      </c>
      <c r="C42" s="1116"/>
      <c r="D42" s="1116"/>
      <c r="E42" s="1117"/>
      <c r="F42" s="665">
        <v>0</v>
      </c>
      <c r="G42" s="635">
        <f t="shared" si="5"/>
        <v>0</v>
      </c>
      <c r="H42" s="847">
        <v>0</v>
      </c>
      <c r="I42" s="644">
        <v>0</v>
      </c>
      <c r="J42" s="79">
        <v>0</v>
      </c>
      <c r="K42" s="79">
        <v>0</v>
      </c>
      <c r="L42" s="79">
        <v>0</v>
      </c>
      <c r="M42" s="79">
        <v>0</v>
      </c>
      <c r="N42" s="859">
        <v>0</v>
      </c>
      <c r="O42" s="852">
        <v>0</v>
      </c>
    </row>
    <row r="43" spans="1:44" ht="30.6" customHeight="1" thickBot="1" x14ac:dyDescent="0.3">
      <c r="A43" s="609" t="s">
        <v>70</v>
      </c>
      <c r="B43" s="1118" t="s">
        <v>54</v>
      </c>
      <c r="C43" s="1118"/>
      <c r="D43" s="1118"/>
      <c r="E43" s="1119"/>
      <c r="F43" s="666">
        <v>0</v>
      </c>
      <c r="G43" s="655">
        <f t="shared" si="5"/>
        <v>66980</v>
      </c>
      <c r="H43" s="848">
        <v>1980</v>
      </c>
      <c r="I43" s="645">
        <v>0</v>
      </c>
      <c r="J43" s="313">
        <v>0</v>
      </c>
      <c r="K43" s="313">
        <v>65000</v>
      </c>
      <c r="L43" s="313">
        <v>0</v>
      </c>
      <c r="M43" s="313">
        <v>0</v>
      </c>
      <c r="N43" s="860">
        <v>0</v>
      </c>
      <c r="O43" s="853">
        <v>0</v>
      </c>
    </row>
    <row r="44" spans="1:44" s="14" customFormat="1" ht="1.35" customHeight="1" x14ac:dyDescent="0.25">
      <c r="A44" s="26"/>
      <c r="B44" s="1"/>
      <c r="C44" s="2"/>
      <c r="D44" s="96"/>
      <c r="E44" s="96"/>
      <c r="F44" s="96"/>
      <c r="G44" s="2"/>
      <c r="H44" s="312">
        <v>0</v>
      </c>
      <c r="I44" s="312">
        <v>0</v>
      </c>
      <c r="J44" s="312">
        <v>0</v>
      </c>
      <c r="K44" s="312">
        <v>0</v>
      </c>
      <c r="L44" s="312">
        <v>0</v>
      </c>
      <c r="M44" s="312"/>
      <c r="N44" s="312"/>
      <c r="O44" s="312">
        <v>0</v>
      </c>
      <c r="P44" s="131"/>
      <c r="Q44" s="131"/>
      <c r="R44" s="131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</row>
    <row r="45" spans="1:44" s="14" customFormat="1" ht="30.6" customHeight="1" thickBot="1" x14ac:dyDescent="0.35">
      <c r="A45" s="107" t="s">
        <v>851</v>
      </c>
      <c r="B45" s="107"/>
      <c r="C45" s="23"/>
      <c r="D45" s="55"/>
      <c r="E45" s="55"/>
      <c r="F45" s="55"/>
      <c r="G45" s="2"/>
      <c r="H45" s="2"/>
      <c r="I45" s="130"/>
      <c r="J45" s="130"/>
      <c r="K45" s="133"/>
      <c r="L45" s="133"/>
      <c r="M45" s="133"/>
      <c r="N45" s="133"/>
      <c r="O45" s="130"/>
      <c r="P45" s="131"/>
      <c r="Q45" s="131"/>
      <c r="R45" s="131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</row>
    <row r="46" spans="1:44" s="14" customFormat="1" ht="26.45" customHeight="1" x14ac:dyDescent="0.25">
      <c r="A46" s="49" t="s">
        <v>6</v>
      </c>
      <c r="B46" s="1089" t="s">
        <v>315</v>
      </c>
      <c r="C46" s="1089"/>
      <c r="D46" s="1089"/>
      <c r="E46" s="1089"/>
      <c r="F46" s="1089"/>
      <c r="G46" s="1089"/>
      <c r="H46" s="1089"/>
      <c r="I46" s="56" t="s">
        <v>304</v>
      </c>
      <c r="J46" s="130"/>
      <c r="K46" s="133"/>
      <c r="L46" s="133"/>
      <c r="M46" s="133"/>
      <c r="N46" s="133"/>
      <c r="O46" s="130"/>
      <c r="P46" s="131"/>
      <c r="Q46" s="131"/>
      <c r="R46" s="131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</row>
    <row r="47" spans="1:44" ht="20.45" customHeight="1" x14ac:dyDescent="0.25">
      <c r="A47" s="75">
        <v>1</v>
      </c>
      <c r="B47" s="1090">
        <v>2</v>
      </c>
      <c r="C47" s="1090"/>
      <c r="D47" s="1090"/>
      <c r="E47" s="1090"/>
      <c r="F47" s="1090"/>
      <c r="G47" s="1090"/>
      <c r="H47" s="1090"/>
      <c r="I47" s="76">
        <v>3</v>
      </c>
      <c r="J47" s="135"/>
      <c r="K47" s="168"/>
      <c r="L47" s="168"/>
      <c r="M47" s="168"/>
      <c r="N47" s="168"/>
      <c r="O47" s="135"/>
    </row>
    <row r="48" spans="1:44" ht="22.7" customHeight="1" x14ac:dyDescent="0.25">
      <c r="A48" s="98">
        <v>1</v>
      </c>
      <c r="B48" s="1092" t="s">
        <v>687</v>
      </c>
      <c r="C48" s="1092"/>
      <c r="D48" s="1092"/>
      <c r="E48" s="1092"/>
      <c r="F48" s="1092"/>
      <c r="G48" s="1092"/>
      <c r="H48" s="1092"/>
      <c r="I48" s="104">
        <f>SUM(I49,I50,I51,I52)</f>
        <v>9221.83</v>
      </c>
      <c r="J48" s="173"/>
      <c r="K48" s="173"/>
      <c r="L48" s="173"/>
      <c r="M48" s="173"/>
      <c r="N48" s="173"/>
      <c r="O48" s="173"/>
    </row>
    <row r="49" spans="1:15" ht="23.45" customHeight="1" x14ac:dyDescent="0.25">
      <c r="A49" s="98">
        <v>2</v>
      </c>
      <c r="B49" s="1093" t="s">
        <v>10</v>
      </c>
      <c r="C49" s="1093"/>
      <c r="D49" s="1093"/>
      <c r="E49" s="1093"/>
      <c r="F49" s="1093"/>
      <c r="G49" s="1093"/>
      <c r="H49" s="1093"/>
      <c r="I49" s="105">
        <v>0</v>
      </c>
      <c r="J49" s="174"/>
      <c r="K49" s="174"/>
      <c r="L49" s="174"/>
      <c r="M49" s="174"/>
      <c r="N49" s="174"/>
      <c r="O49" s="174"/>
    </row>
    <row r="50" spans="1:15" ht="24.6" customHeight="1" x14ac:dyDescent="0.25">
      <c r="A50" s="98">
        <v>3</v>
      </c>
      <c r="B50" s="1093" t="s">
        <v>11</v>
      </c>
      <c r="C50" s="1093"/>
      <c r="D50" s="1093"/>
      <c r="E50" s="1093"/>
      <c r="F50" s="1093"/>
      <c r="G50" s="1093"/>
      <c r="H50" s="1093"/>
      <c r="I50" s="105">
        <v>0</v>
      </c>
      <c r="J50" s="174"/>
      <c r="K50" s="174"/>
      <c r="L50" s="174"/>
      <c r="M50" s="174"/>
      <c r="N50" s="174"/>
      <c r="O50" s="174"/>
    </row>
    <row r="51" spans="1:15" ht="22.7" customHeight="1" x14ac:dyDescent="0.25">
      <c r="A51" s="98">
        <v>4</v>
      </c>
      <c r="B51" s="1093" t="s">
        <v>12</v>
      </c>
      <c r="C51" s="1093"/>
      <c r="D51" s="1093"/>
      <c r="E51" s="1093"/>
      <c r="F51" s="1093"/>
      <c r="G51" s="1093"/>
      <c r="H51" s="1093"/>
      <c r="I51" s="105">
        <v>0</v>
      </c>
      <c r="J51" s="174"/>
      <c r="K51" s="174"/>
      <c r="L51" s="174"/>
      <c r="M51" s="174"/>
      <c r="N51" s="174"/>
      <c r="O51" s="174"/>
    </row>
    <row r="52" spans="1:15" ht="23.45" customHeight="1" thickBot="1" x14ac:dyDescent="0.3">
      <c r="A52" s="99">
        <v>5</v>
      </c>
      <c r="B52" s="1091" t="s">
        <v>14</v>
      </c>
      <c r="C52" s="1091"/>
      <c r="D52" s="1091"/>
      <c r="E52" s="1091"/>
      <c r="F52" s="1091"/>
      <c r="G52" s="1091"/>
      <c r="H52" s="1091"/>
      <c r="I52" s="106">
        <f>5777.55+3444.28</f>
        <v>9221.83</v>
      </c>
      <c r="J52" s="174"/>
      <c r="K52" s="174"/>
      <c r="L52" s="174"/>
      <c r="M52" s="174"/>
      <c r="N52" s="174"/>
      <c r="O52" s="174"/>
    </row>
    <row r="53" spans="1:15" ht="8.1" customHeight="1" x14ac:dyDescent="0.25"/>
    <row r="54" spans="1:15" ht="21" customHeight="1" x14ac:dyDescent="0.25">
      <c r="D54" s="101"/>
      <c r="E54" s="101"/>
      <c r="F54" s="101"/>
    </row>
    <row r="55" spans="1:15" ht="22.35" customHeight="1" x14ac:dyDescent="0.25">
      <c r="B55" s="1088" t="s">
        <v>0</v>
      </c>
      <c r="C55" s="1088"/>
      <c r="D55" s="1086">
        <f>D1</f>
        <v>37650571</v>
      </c>
      <c r="E55" s="1086"/>
      <c r="F55" s="1087" t="s">
        <v>1</v>
      </c>
      <c r="G55" s="1087"/>
      <c r="H55" s="110"/>
      <c r="I55" s="2"/>
      <c r="J55" s="110"/>
      <c r="K55" s="110"/>
      <c r="L55" s="103"/>
      <c r="M55" s="595"/>
      <c r="N55" s="595"/>
      <c r="O55" s="385" t="s">
        <v>391</v>
      </c>
    </row>
    <row r="56" spans="1:15" ht="22.35" customHeight="1" x14ac:dyDescent="0.25">
      <c r="D56" s="101"/>
      <c r="E56" s="101"/>
      <c r="F56" s="101"/>
      <c r="I56" s="2"/>
      <c r="J56" s="2"/>
      <c r="K56" s="2"/>
      <c r="L56" s="2"/>
      <c r="M56" s="2"/>
      <c r="N56" s="2"/>
      <c r="O56" s="383" t="s">
        <v>346</v>
      </c>
    </row>
    <row r="57" spans="1:15" ht="32.450000000000003" customHeight="1" x14ac:dyDescent="0.25">
      <c r="A57" s="1085" t="str">
        <f>A3</f>
        <v>ЗВІТ ПРО ДОХОДИ ТА ВИТРАТИ за 1 півріччя 2020 року</v>
      </c>
      <c r="B57" s="1085"/>
      <c r="C57" s="1085"/>
      <c r="D57" s="1085"/>
      <c r="E57" s="1085"/>
      <c r="F57" s="1085"/>
      <c r="G57" s="1085"/>
      <c r="H57" s="1085"/>
      <c r="I57" s="1085"/>
      <c r="J57" s="1085"/>
      <c r="K57" s="1085"/>
      <c r="L57" s="1085"/>
      <c r="M57" s="1085"/>
      <c r="N57" s="1085"/>
      <c r="O57" s="1085"/>
    </row>
    <row r="58" spans="1:15" ht="32.450000000000003" customHeight="1" thickBot="1" x14ac:dyDescent="0.3">
      <c r="A58" s="1139" t="s">
        <v>685</v>
      </c>
      <c r="B58" s="1139"/>
      <c r="C58" s="1139"/>
      <c r="D58" s="1139"/>
      <c r="E58" s="1139"/>
      <c r="F58" s="100"/>
      <c r="G58" s="100"/>
      <c r="H58" s="100"/>
      <c r="I58" s="100"/>
      <c r="J58" s="100"/>
      <c r="K58" s="100"/>
      <c r="L58" s="100"/>
      <c r="M58" s="590"/>
      <c r="N58" s="590"/>
      <c r="O58" s="382" t="s">
        <v>305</v>
      </c>
    </row>
    <row r="59" spans="1:15" ht="23.45" customHeight="1" thickBot="1" x14ac:dyDescent="0.3">
      <c r="A59" s="1146" t="s">
        <v>6</v>
      </c>
      <c r="B59" s="1089" t="s">
        <v>7</v>
      </c>
      <c r="C59" s="1089"/>
      <c r="D59" s="1089"/>
      <c r="E59" s="1111"/>
      <c r="F59" s="1120" t="s">
        <v>89</v>
      </c>
      <c r="G59" s="1122" t="s">
        <v>8</v>
      </c>
      <c r="H59" s="1123"/>
      <c r="I59" s="1123"/>
      <c r="J59" s="1123"/>
      <c r="K59" s="1123"/>
      <c r="L59" s="1123"/>
      <c r="M59" s="1123"/>
      <c r="N59" s="1123"/>
      <c r="O59" s="1124"/>
    </row>
    <row r="60" spans="1:15" ht="29.45" customHeight="1" thickBot="1" x14ac:dyDescent="0.3">
      <c r="A60" s="1147"/>
      <c r="B60" s="1112"/>
      <c r="C60" s="1112"/>
      <c r="D60" s="1112"/>
      <c r="E60" s="1113"/>
      <c r="F60" s="1121"/>
      <c r="G60" s="1127" t="s">
        <v>396</v>
      </c>
      <c r="H60" s="1128" t="s">
        <v>639</v>
      </c>
      <c r="I60" s="1129"/>
      <c r="J60" s="1129"/>
      <c r="K60" s="1129"/>
      <c r="L60" s="1129"/>
      <c r="M60" s="1129"/>
      <c r="N60" s="1129"/>
      <c r="O60" s="1130"/>
    </row>
    <row r="61" spans="1:15" ht="29.45" customHeight="1" x14ac:dyDescent="0.25">
      <c r="A61" s="1147"/>
      <c r="B61" s="1112"/>
      <c r="C61" s="1112"/>
      <c r="D61" s="1112"/>
      <c r="E61" s="1113"/>
      <c r="F61" s="1121"/>
      <c r="G61" s="1127"/>
      <c r="H61" s="1132" t="s">
        <v>565</v>
      </c>
      <c r="I61" s="1134" t="s">
        <v>694</v>
      </c>
      <c r="J61" s="1135"/>
      <c r="K61" s="1135"/>
      <c r="L61" s="1135"/>
      <c r="M61" s="1135"/>
      <c r="N61" s="1136"/>
      <c r="O61" s="1137" t="s">
        <v>638</v>
      </c>
    </row>
    <row r="62" spans="1:15" ht="48.6" customHeight="1" x14ac:dyDescent="0.25">
      <c r="A62" s="1147"/>
      <c r="B62" s="1112"/>
      <c r="C62" s="1112"/>
      <c r="D62" s="1112"/>
      <c r="E62" s="1113"/>
      <c r="F62" s="1121"/>
      <c r="G62" s="1127"/>
      <c r="H62" s="1133"/>
      <c r="I62" s="1125" t="s">
        <v>218</v>
      </c>
      <c r="J62" s="1126"/>
      <c r="K62" s="1126" t="s">
        <v>199</v>
      </c>
      <c r="L62" s="1126"/>
      <c r="M62" s="1126" t="s">
        <v>13</v>
      </c>
      <c r="N62" s="1131"/>
      <c r="O62" s="1138"/>
    </row>
    <row r="63" spans="1:15" ht="41.45" customHeight="1" x14ac:dyDescent="0.25">
      <c r="A63" s="1147"/>
      <c r="B63" s="1112"/>
      <c r="C63" s="1112"/>
      <c r="D63" s="1112"/>
      <c r="E63" s="1113"/>
      <c r="F63" s="1121"/>
      <c r="G63" s="1127"/>
      <c r="H63" s="1133"/>
      <c r="I63" s="637" t="s">
        <v>83</v>
      </c>
      <c r="J63" s="620" t="s">
        <v>586</v>
      </c>
      <c r="K63" s="620" t="s">
        <v>83</v>
      </c>
      <c r="L63" s="620" t="s">
        <v>586</v>
      </c>
      <c r="M63" s="620" t="s">
        <v>83</v>
      </c>
      <c r="N63" s="638" t="s">
        <v>586</v>
      </c>
      <c r="O63" s="1138"/>
    </row>
    <row r="64" spans="1:15" ht="24" customHeight="1" thickBot="1" x14ac:dyDescent="0.3">
      <c r="A64" s="876" t="s">
        <v>9</v>
      </c>
      <c r="B64" s="1148">
        <v>2</v>
      </c>
      <c r="C64" s="1148"/>
      <c r="D64" s="1148"/>
      <c r="E64" s="1149"/>
      <c r="F64" s="877">
        <v>3</v>
      </c>
      <c r="G64" s="878">
        <v>4</v>
      </c>
      <c r="H64" s="879">
        <v>5</v>
      </c>
      <c r="I64" s="880">
        <v>6</v>
      </c>
      <c r="J64" s="881">
        <v>7</v>
      </c>
      <c r="K64" s="881">
        <v>8</v>
      </c>
      <c r="L64" s="881">
        <v>9</v>
      </c>
      <c r="M64" s="881"/>
      <c r="N64" s="882"/>
      <c r="O64" s="883">
        <v>10</v>
      </c>
    </row>
    <row r="65" spans="1:18" ht="40.35" customHeight="1" x14ac:dyDescent="0.25">
      <c r="A65" s="868">
        <v>3</v>
      </c>
      <c r="B65" s="1150" t="s">
        <v>688</v>
      </c>
      <c r="C65" s="1150"/>
      <c r="D65" s="1150"/>
      <c r="E65" s="1151"/>
      <c r="F65" s="869">
        <f>SUM(F66+F70+F74+F75)</f>
        <v>0</v>
      </c>
      <c r="G65" s="870">
        <f>H65+I65+J65+K65+L65+O65+M65+N65</f>
        <v>0</v>
      </c>
      <c r="H65" s="871">
        <f>SUM(H66+H70+H74+H75)</f>
        <v>0</v>
      </c>
      <c r="I65" s="872">
        <f t="shared" ref="I65:O65" si="6">SUM(I66+I70+I74+I75)</f>
        <v>0</v>
      </c>
      <c r="J65" s="873">
        <f t="shared" si="6"/>
        <v>0</v>
      </c>
      <c r="K65" s="873">
        <f t="shared" si="6"/>
        <v>0</v>
      </c>
      <c r="L65" s="873">
        <f t="shared" si="6"/>
        <v>0</v>
      </c>
      <c r="M65" s="873">
        <f t="shared" si="6"/>
        <v>0</v>
      </c>
      <c r="N65" s="874">
        <f t="shared" si="6"/>
        <v>0</v>
      </c>
      <c r="O65" s="875">
        <f t="shared" si="6"/>
        <v>0</v>
      </c>
    </row>
    <row r="66" spans="1:18" ht="40.35" customHeight="1" x14ac:dyDescent="0.25">
      <c r="A66" s="610" t="s">
        <v>71</v>
      </c>
      <c r="B66" s="1140" t="s">
        <v>691</v>
      </c>
      <c r="C66" s="1140"/>
      <c r="D66" s="1140"/>
      <c r="E66" s="1141"/>
      <c r="F66" s="659">
        <f>SUM(F67:F69)</f>
        <v>0</v>
      </c>
      <c r="G66" s="636">
        <f t="shared" ref="G66:G77" si="7">H66+I66+J66+K66+L66+O66+M66+N66</f>
        <v>0</v>
      </c>
      <c r="H66" s="861">
        <f>SUM(H67:H69)</f>
        <v>0</v>
      </c>
      <c r="I66" s="646">
        <f t="shared" ref="I66:O66" si="8">SUM(I67:I69)</f>
        <v>0</v>
      </c>
      <c r="J66" s="600">
        <f t="shared" si="8"/>
        <v>0</v>
      </c>
      <c r="K66" s="600">
        <f t="shared" si="8"/>
        <v>0</v>
      </c>
      <c r="L66" s="600">
        <f t="shared" si="8"/>
        <v>0</v>
      </c>
      <c r="M66" s="600">
        <f t="shared" ref="M66:N66" si="9">SUM(M67:M69)</f>
        <v>0</v>
      </c>
      <c r="N66" s="601">
        <f t="shared" si="9"/>
        <v>0</v>
      </c>
      <c r="O66" s="865">
        <f t="shared" si="8"/>
        <v>0</v>
      </c>
    </row>
    <row r="67" spans="1:18" ht="34.35" customHeight="1" x14ac:dyDescent="0.25">
      <c r="A67" s="602" t="s">
        <v>75</v>
      </c>
      <c r="B67" s="1142" t="s">
        <v>329</v>
      </c>
      <c r="C67" s="1142"/>
      <c r="D67" s="1142"/>
      <c r="E67" s="1143"/>
      <c r="F67" s="660">
        <v>0</v>
      </c>
      <c r="G67" s="636">
        <f t="shared" si="7"/>
        <v>0</v>
      </c>
      <c r="H67" s="862">
        <v>0</v>
      </c>
      <c r="I67" s="647">
        <v>0</v>
      </c>
      <c r="J67" s="603">
        <v>0</v>
      </c>
      <c r="K67" s="603">
        <v>0</v>
      </c>
      <c r="L67" s="603">
        <v>0</v>
      </c>
      <c r="M67" s="603">
        <v>0</v>
      </c>
      <c r="N67" s="588">
        <v>0</v>
      </c>
      <c r="O67" s="660">
        <v>0</v>
      </c>
    </row>
    <row r="68" spans="1:18" ht="34.35" customHeight="1" x14ac:dyDescent="0.25">
      <c r="A68" s="599" t="s">
        <v>76</v>
      </c>
      <c r="B68" s="1142" t="s">
        <v>210</v>
      </c>
      <c r="C68" s="1142"/>
      <c r="D68" s="1142"/>
      <c r="E68" s="1143"/>
      <c r="F68" s="660">
        <v>0</v>
      </c>
      <c r="G68" s="636">
        <f t="shared" si="7"/>
        <v>0</v>
      </c>
      <c r="H68" s="862">
        <v>0</v>
      </c>
      <c r="I68" s="647">
        <v>0</v>
      </c>
      <c r="J68" s="603">
        <v>0</v>
      </c>
      <c r="K68" s="603">
        <v>0</v>
      </c>
      <c r="L68" s="603">
        <v>0</v>
      </c>
      <c r="M68" s="603">
        <v>0</v>
      </c>
      <c r="N68" s="588">
        <v>0</v>
      </c>
      <c r="O68" s="660">
        <v>0</v>
      </c>
    </row>
    <row r="69" spans="1:18" ht="34.35" customHeight="1" x14ac:dyDescent="0.25">
      <c r="A69" s="602" t="s">
        <v>77</v>
      </c>
      <c r="B69" s="1142" t="s">
        <v>211</v>
      </c>
      <c r="C69" s="1142"/>
      <c r="D69" s="1142"/>
      <c r="E69" s="1143"/>
      <c r="F69" s="660">
        <v>0</v>
      </c>
      <c r="G69" s="636">
        <f t="shared" si="7"/>
        <v>0</v>
      </c>
      <c r="H69" s="862">
        <v>0</v>
      </c>
      <c r="I69" s="647">
        <v>0</v>
      </c>
      <c r="J69" s="603">
        <v>0</v>
      </c>
      <c r="K69" s="603">
        <v>0</v>
      </c>
      <c r="L69" s="603">
        <v>0</v>
      </c>
      <c r="M69" s="603">
        <v>0</v>
      </c>
      <c r="N69" s="588">
        <v>0</v>
      </c>
      <c r="O69" s="660">
        <v>0</v>
      </c>
    </row>
    <row r="70" spans="1:18" ht="36" customHeight="1" x14ac:dyDescent="0.25">
      <c r="A70" s="610" t="s">
        <v>72</v>
      </c>
      <c r="B70" s="1140" t="s">
        <v>690</v>
      </c>
      <c r="C70" s="1140"/>
      <c r="D70" s="1140"/>
      <c r="E70" s="1141"/>
      <c r="F70" s="659">
        <f>SUM(F71:F73)</f>
        <v>0</v>
      </c>
      <c r="G70" s="636">
        <f t="shared" si="7"/>
        <v>0</v>
      </c>
      <c r="H70" s="861">
        <f>SUM(H71:H73)</f>
        <v>0</v>
      </c>
      <c r="I70" s="646">
        <f t="shared" ref="I70:O70" si="10">SUM(I71:I73)</f>
        <v>0</v>
      </c>
      <c r="J70" s="600">
        <f t="shared" si="10"/>
        <v>0</v>
      </c>
      <c r="K70" s="600">
        <f t="shared" si="10"/>
        <v>0</v>
      </c>
      <c r="L70" s="600">
        <f t="shared" si="10"/>
        <v>0</v>
      </c>
      <c r="M70" s="600">
        <f t="shared" ref="M70:N70" si="11">SUM(M71:M73)</f>
        <v>0</v>
      </c>
      <c r="N70" s="601">
        <f t="shared" si="11"/>
        <v>0</v>
      </c>
      <c r="O70" s="865">
        <f t="shared" si="10"/>
        <v>0</v>
      </c>
    </row>
    <row r="71" spans="1:18" ht="33" customHeight="1" x14ac:dyDescent="0.25">
      <c r="A71" s="599" t="s">
        <v>78</v>
      </c>
      <c r="B71" s="1142" t="s">
        <v>212</v>
      </c>
      <c r="C71" s="1142"/>
      <c r="D71" s="1142"/>
      <c r="E71" s="1143"/>
      <c r="F71" s="660">
        <v>0</v>
      </c>
      <c r="G71" s="636">
        <f t="shared" si="7"/>
        <v>0</v>
      </c>
      <c r="H71" s="862">
        <v>0</v>
      </c>
      <c r="I71" s="647">
        <v>0</v>
      </c>
      <c r="J71" s="603">
        <v>0</v>
      </c>
      <c r="K71" s="603">
        <v>0</v>
      </c>
      <c r="L71" s="603">
        <v>0</v>
      </c>
      <c r="M71" s="603">
        <v>0</v>
      </c>
      <c r="N71" s="588">
        <v>0</v>
      </c>
      <c r="O71" s="866">
        <v>0</v>
      </c>
    </row>
    <row r="72" spans="1:18" ht="33" customHeight="1" x14ac:dyDescent="0.25">
      <c r="A72" s="599" t="s">
        <v>79</v>
      </c>
      <c r="B72" s="1142" t="s">
        <v>213</v>
      </c>
      <c r="C72" s="1142"/>
      <c r="D72" s="1142"/>
      <c r="E72" s="1143"/>
      <c r="F72" s="660">
        <v>0</v>
      </c>
      <c r="G72" s="636">
        <f t="shared" si="7"/>
        <v>0</v>
      </c>
      <c r="H72" s="862">
        <v>0</v>
      </c>
      <c r="I72" s="647">
        <v>0</v>
      </c>
      <c r="J72" s="603">
        <v>0</v>
      </c>
      <c r="K72" s="603">
        <v>0</v>
      </c>
      <c r="L72" s="603">
        <v>0</v>
      </c>
      <c r="M72" s="603">
        <v>0</v>
      </c>
      <c r="N72" s="588">
        <v>0</v>
      </c>
      <c r="O72" s="866">
        <v>0</v>
      </c>
    </row>
    <row r="73" spans="1:18" ht="33" customHeight="1" x14ac:dyDescent="0.25">
      <c r="A73" s="599" t="s">
        <v>80</v>
      </c>
      <c r="B73" s="1142" t="s">
        <v>214</v>
      </c>
      <c r="C73" s="1142"/>
      <c r="D73" s="1142"/>
      <c r="E73" s="1143"/>
      <c r="F73" s="660">
        <v>0</v>
      </c>
      <c r="G73" s="636">
        <f t="shared" si="7"/>
        <v>0</v>
      </c>
      <c r="H73" s="862">
        <v>0</v>
      </c>
      <c r="I73" s="647">
        <v>0</v>
      </c>
      <c r="J73" s="603">
        <v>0</v>
      </c>
      <c r="K73" s="603">
        <v>0</v>
      </c>
      <c r="L73" s="603">
        <v>0</v>
      </c>
      <c r="M73" s="603">
        <v>0</v>
      </c>
      <c r="N73" s="588">
        <v>0</v>
      </c>
      <c r="O73" s="866">
        <v>0</v>
      </c>
    </row>
    <row r="74" spans="1:18" ht="53.45" customHeight="1" x14ac:dyDescent="0.25">
      <c r="A74" s="610" t="s">
        <v>73</v>
      </c>
      <c r="B74" s="1140" t="s">
        <v>215</v>
      </c>
      <c r="C74" s="1140"/>
      <c r="D74" s="1140"/>
      <c r="E74" s="1141"/>
      <c r="F74" s="660">
        <v>0</v>
      </c>
      <c r="G74" s="636">
        <f t="shared" si="7"/>
        <v>0</v>
      </c>
      <c r="H74" s="863">
        <v>0</v>
      </c>
      <c r="I74" s="648">
        <v>0</v>
      </c>
      <c r="J74" s="604">
        <v>0</v>
      </c>
      <c r="K74" s="604">
        <v>0</v>
      </c>
      <c r="L74" s="604">
        <v>0</v>
      </c>
      <c r="M74" s="604">
        <v>0</v>
      </c>
      <c r="N74" s="649">
        <v>0</v>
      </c>
      <c r="O74" s="866">
        <v>0</v>
      </c>
    </row>
    <row r="75" spans="1:18" ht="40.35" customHeight="1" x14ac:dyDescent="0.25">
      <c r="A75" s="610" t="s">
        <v>74</v>
      </c>
      <c r="B75" s="1140" t="s">
        <v>689</v>
      </c>
      <c r="C75" s="1140"/>
      <c r="D75" s="1140"/>
      <c r="E75" s="1141"/>
      <c r="F75" s="659">
        <f>SUM(F76:F77)</f>
        <v>0</v>
      </c>
      <c r="G75" s="636">
        <f t="shared" si="7"/>
        <v>0</v>
      </c>
      <c r="H75" s="861">
        <f>SUM(H76:H77)</f>
        <v>0</v>
      </c>
      <c r="I75" s="646">
        <f t="shared" ref="I75:O75" si="12">SUM(I76:I77)</f>
        <v>0</v>
      </c>
      <c r="J75" s="600">
        <f t="shared" si="12"/>
        <v>0</v>
      </c>
      <c r="K75" s="600">
        <f t="shared" si="12"/>
        <v>0</v>
      </c>
      <c r="L75" s="600">
        <f t="shared" si="12"/>
        <v>0</v>
      </c>
      <c r="M75" s="600">
        <f t="shared" ref="M75:N75" si="13">SUM(M76:M77)</f>
        <v>0</v>
      </c>
      <c r="N75" s="601">
        <f t="shared" si="13"/>
        <v>0</v>
      </c>
      <c r="O75" s="865">
        <f t="shared" si="12"/>
        <v>0</v>
      </c>
    </row>
    <row r="76" spans="1:18" ht="46.7" customHeight="1" x14ac:dyDescent="0.25">
      <c r="A76" s="599" t="s">
        <v>81</v>
      </c>
      <c r="B76" s="1142" t="s">
        <v>216</v>
      </c>
      <c r="C76" s="1142"/>
      <c r="D76" s="1142"/>
      <c r="E76" s="1143"/>
      <c r="F76" s="660">
        <v>0</v>
      </c>
      <c r="G76" s="636">
        <f t="shared" si="7"/>
        <v>0</v>
      </c>
      <c r="H76" s="862">
        <v>0</v>
      </c>
      <c r="I76" s="647">
        <v>0</v>
      </c>
      <c r="J76" s="603">
        <v>0</v>
      </c>
      <c r="K76" s="603">
        <v>0</v>
      </c>
      <c r="L76" s="603">
        <v>0</v>
      </c>
      <c r="M76" s="603">
        <v>0</v>
      </c>
      <c r="N76" s="588">
        <v>0</v>
      </c>
      <c r="O76" s="866">
        <v>0</v>
      </c>
    </row>
    <row r="77" spans="1:18" ht="37.35" customHeight="1" thickBot="1" x14ac:dyDescent="0.3">
      <c r="A77" s="605" t="s">
        <v>82</v>
      </c>
      <c r="B77" s="1144" t="s">
        <v>217</v>
      </c>
      <c r="C77" s="1144"/>
      <c r="D77" s="1144"/>
      <c r="E77" s="1145"/>
      <c r="F77" s="661">
        <v>0</v>
      </c>
      <c r="G77" s="658">
        <f t="shared" si="7"/>
        <v>0</v>
      </c>
      <c r="H77" s="864">
        <v>0</v>
      </c>
      <c r="I77" s="650">
        <v>0</v>
      </c>
      <c r="J77" s="606">
        <v>0</v>
      </c>
      <c r="K77" s="606">
        <v>0</v>
      </c>
      <c r="L77" s="606">
        <v>0</v>
      </c>
      <c r="M77" s="606">
        <v>0</v>
      </c>
      <c r="N77" s="607">
        <v>0</v>
      </c>
      <c r="O77" s="867">
        <v>0</v>
      </c>
    </row>
    <row r="78" spans="1:18" s="166" customFormat="1" x14ac:dyDescent="0.25">
      <c r="A78" s="175"/>
      <c r="B78" s="176"/>
      <c r="D78" s="177"/>
      <c r="E78" s="177"/>
      <c r="F78" s="177"/>
      <c r="G78" s="178"/>
      <c r="H78" s="178"/>
      <c r="I78" s="178"/>
      <c r="J78" s="178"/>
      <c r="K78" s="179"/>
      <c r="L78" s="180"/>
      <c r="M78" s="180"/>
      <c r="N78" s="180"/>
      <c r="P78" s="167"/>
      <c r="Q78" s="167"/>
      <c r="R78" s="167"/>
    </row>
    <row r="79" spans="1:18" s="166" customFormat="1" x14ac:dyDescent="0.25">
      <c r="A79" s="1177"/>
      <c r="B79" s="1177"/>
      <c r="C79" s="1177"/>
      <c r="D79" s="1177"/>
      <c r="E79" s="1177"/>
      <c r="F79" s="1177"/>
      <c r="G79" s="1177"/>
      <c r="H79" s="1177"/>
      <c r="I79" s="1177"/>
      <c r="J79" s="1177"/>
      <c r="K79" s="1177"/>
      <c r="L79" s="1177"/>
      <c r="M79" s="1177"/>
      <c r="N79" s="1177"/>
      <c r="O79" s="1177"/>
      <c r="P79" s="167"/>
      <c r="Q79" s="167"/>
      <c r="R79" s="167"/>
    </row>
    <row r="80" spans="1:18" s="166" customFormat="1" x14ac:dyDescent="0.25">
      <c r="A80" s="1177"/>
      <c r="B80" s="1177"/>
      <c r="C80" s="1177"/>
      <c r="D80" s="1177"/>
      <c r="E80" s="1177"/>
      <c r="F80" s="1177"/>
      <c r="G80" s="1177"/>
      <c r="H80" s="1177"/>
      <c r="I80" s="1177"/>
      <c r="J80" s="1177"/>
      <c r="K80" s="1177"/>
      <c r="L80" s="1177"/>
      <c r="M80" s="1177"/>
      <c r="N80" s="1177"/>
      <c r="O80" s="1177"/>
      <c r="P80" s="167"/>
      <c r="Q80" s="167"/>
      <c r="R80" s="167"/>
    </row>
    <row r="81" spans="1:18" s="166" customFormat="1" x14ac:dyDescent="0.25">
      <c r="A81" s="1177"/>
      <c r="B81" s="1177"/>
      <c r="C81" s="1177"/>
      <c r="D81" s="1177"/>
      <c r="E81" s="1177"/>
      <c r="F81" s="1177"/>
      <c r="G81" s="1177"/>
      <c r="H81" s="1177"/>
      <c r="I81" s="1177"/>
      <c r="J81" s="1177"/>
      <c r="K81" s="1177"/>
      <c r="L81" s="1177"/>
      <c r="M81" s="1177"/>
      <c r="N81" s="1177"/>
      <c r="O81" s="1177"/>
      <c r="P81" s="167"/>
      <c r="Q81" s="167"/>
      <c r="R81" s="167"/>
    </row>
    <row r="82" spans="1:18" s="166" customFormat="1" x14ac:dyDescent="0.25">
      <c r="A82" s="1177"/>
      <c r="B82" s="1177"/>
      <c r="C82" s="1177"/>
      <c r="D82" s="1177"/>
      <c r="E82" s="1177"/>
      <c r="F82" s="1177"/>
      <c r="G82" s="1177"/>
      <c r="H82" s="1177"/>
      <c r="I82" s="1177"/>
      <c r="J82" s="1177"/>
      <c r="K82" s="1177"/>
      <c r="L82" s="1177"/>
      <c r="M82" s="1177"/>
      <c r="N82" s="1177"/>
      <c r="O82" s="1177"/>
      <c r="P82" s="167"/>
      <c r="Q82" s="167"/>
      <c r="R82" s="167"/>
    </row>
    <row r="83" spans="1:18" s="166" customFormat="1" x14ac:dyDescent="0.25">
      <c r="A83" s="1177"/>
      <c r="B83" s="1177"/>
      <c r="C83" s="1177"/>
      <c r="D83" s="1177"/>
      <c r="E83" s="1177"/>
      <c r="F83" s="1177"/>
      <c r="G83" s="1177"/>
      <c r="H83" s="1177"/>
      <c r="I83" s="1177"/>
      <c r="J83" s="1177"/>
      <c r="K83" s="1177"/>
      <c r="L83" s="1177"/>
      <c r="M83" s="1177"/>
      <c r="N83" s="1177"/>
      <c r="O83" s="1177"/>
      <c r="P83" s="167"/>
      <c r="Q83" s="167"/>
      <c r="R83" s="167"/>
    </row>
    <row r="84" spans="1:18" s="166" customFormat="1" x14ac:dyDescent="0.25">
      <c r="A84" s="1177"/>
      <c r="B84" s="1177"/>
      <c r="C84" s="1177"/>
      <c r="D84" s="1177"/>
      <c r="E84" s="1177"/>
      <c r="F84" s="1177"/>
      <c r="G84" s="1177"/>
      <c r="H84" s="1177"/>
      <c r="I84" s="1177"/>
      <c r="J84" s="1177"/>
      <c r="K84" s="1177"/>
      <c r="L84" s="1177"/>
      <c r="M84" s="1177"/>
      <c r="N84" s="1177"/>
      <c r="O84" s="1177"/>
      <c r="P84" s="167"/>
      <c r="Q84" s="167"/>
      <c r="R84" s="167"/>
    </row>
    <row r="85" spans="1:18" s="166" customFormat="1" x14ac:dyDescent="0.25">
      <c r="A85" s="1177"/>
      <c r="B85" s="1177"/>
      <c r="C85" s="1177"/>
      <c r="D85" s="1177"/>
      <c r="E85" s="1177"/>
      <c r="F85" s="1177"/>
      <c r="G85" s="1177"/>
      <c r="H85" s="1177"/>
      <c r="I85" s="1177"/>
      <c r="J85" s="1177"/>
      <c r="K85" s="1177"/>
      <c r="L85" s="1177"/>
      <c r="M85" s="1177"/>
      <c r="N85" s="1177"/>
      <c r="O85" s="1177"/>
      <c r="P85" s="167"/>
      <c r="Q85" s="167"/>
      <c r="R85" s="167"/>
    </row>
    <row r="86" spans="1:18" s="166" customFormat="1" x14ac:dyDescent="0.25">
      <c r="A86" s="1177"/>
      <c r="B86" s="1177"/>
      <c r="C86" s="1177"/>
      <c r="D86" s="1177"/>
      <c r="E86" s="1177"/>
      <c r="F86" s="1177"/>
      <c r="G86" s="1177"/>
      <c r="H86" s="1177"/>
      <c r="I86" s="1177"/>
      <c r="J86" s="1177"/>
      <c r="K86" s="1177"/>
      <c r="L86" s="1177"/>
      <c r="M86" s="1177"/>
      <c r="N86" s="1177"/>
      <c r="O86" s="1177"/>
      <c r="P86" s="167"/>
      <c r="Q86" s="167"/>
      <c r="R86" s="167"/>
    </row>
    <row r="87" spans="1:18" s="166" customFormat="1" x14ac:dyDescent="0.25">
      <c r="A87" s="1177"/>
      <c r="B87" s="1177"/>
      <c r="C87" s="1177"/>
      <c r="D87" s="1177"/>
      <c r="E87" s="1177"/>
      <c r="F87" s="1177"/>
      <c r="G87" s="1177"/>
      <c r="H87" s="1177"/>
      <c r="I87" s="1177"/>
      <c r="J87" s="1177"/>
      <c r="K87" s="1177"/>
      <c r="L87" s="1177"/>
      <c r="M87" s="1177"/>
      <c r="N87" s="1177"/>
      <c r="O87" s="1177"/>
      <c r="P87" s="167"/>
      <c r="Q87" s="167"/>
      <c r="R87" s="167"/>
    </row>
    <row r="88" spans="1:18" s="166" customFormat="1" x14ac:dyDescent="0.25">
      <c r="A88" s="1177"/>
      <c r="B88" s="1177"/>
      <c r="C88" s="1177"/>
      <c r="D88" s="1177"/>
      <c r="E88" s="1177"/>
      <c r="F88" s="1177"/>
      <c r="G88" s="1177"/>
      <c r="H88" s="1177"/>
      <c r="I88" s="1177"/>
      <c r="J88" s="1177"/>
      <c r="K88" s="1177"/>
      <c r="L88" s="1177"/>
      <c r="M88" s="1177"/>
      <c r="N88" s="1177"/>
      <c r="O88" s="1177"/>
      <c r="P88" s="167"/>
      <c r="Q88" s="167"/>
      <c r="R88" s="167"/>
    </row>
    <row r="89" spans="1:18" s="166" customFormat="1" x14ac:dyDescent="0.25">
      <c r="A89" s="1177"/>
      <c r="B89" s="1177"/>
      <c r="C89" s="1177"/>
      <c r="D89" s="1177"/>
      <c r="E89" s="1177"/>
      <c r="F89" s="1177"/>
      <c r="G89" s="1177"/>
      <c r="H89" s="1177"/>
      <c r="I89" s="1177"/>
      <c r="J89" s="1177"/>
      <c r="K89" s="1177"/>
      <c r="L89" s="1177"/>
      <c r="M89" s="1177"/>
      <c r="N89" s="1177"/>
      <c r="O89" s="1177"/>
      <c r="P89" s="167"/>
      <c r="Q89" s="167"/>
      <c r="R89" s="167"/>
    </row>
    <row r="90" spans="1:18" s="166" customFormat="1" x14ac:dyDescent="0.25">
      <c r="A90" s="1177"/>
      <c r="B90" s="1177"/>
      <c r="C90" s="1177"/>
      <c r="D90" s="1177"/>
      <c r="E90" s="1177"/>
      <c r="F90" s="1177"/>
      <c r="G90" s="1177"/>
      <c r="H90" s="1177"/>
      <c r="I90" s="1177"/>
      <c r="J90" s="1177"/>
      <c r="K90" s="1177"/>
      <c r="L90" s="1177"/>
      <c r="M90" s="1177"/>
      <c r="N90" s="1177"/>
      <c r="O90" s="1177"/>
      <c r="P90" s="167"/>
      <c r="Q90" s="167"/>
      <c r="R90" s="167"/>
    </row>
    <row r="91" spans="1:18" s="166" customFormat="1" x14ac:dyDescent="0.25">
      <c r="A91" s="1177"/>
      <c r="B91" s="1177"/>
      <c r="C91" s="1177"/>
      <c r="D91" s="1177"/>
      <c r="E91" s="1177"/>
      <c r="F91" s="1177"/>
      <c r="G91" s="1177"/>
      <c r="H91" s="1177"/>
      <c r="I91" s="1177"/>
      <c r="J91" s="1177"/>
      <c r="K91" s="1177"/>
      <c r="L91" s="1177"/>
      <c r="M91" s="1177"/>
      <c r="N91" s="1177"/>
      <c r="O91" s="1177"/>
      <c r="P91" s="167"/>
      <c r="Q91" s="167"/>
      <c r="R91" s="167"/>
    </row>
    <row r="92" spans="1:18" s="166" customFormat="1" x14ac:dyDescent="0.25">
      <c r="A92" s="1177"/>
      <c r="B92" s="1177"/>
      <c r="C92" s="1177"/>
      <c r="D92" s="1177"/>
      <c r="E92" s="1177"/>
      <c r="F92" s="1177"/>
      <c r="G92" s="1177"/>
      <c r="H92" s="1177"/>
      <c r="I92" s="1177"/>
      <c r="J92" s="1177"/>
      <c r="K92" s="1177"/>
      <c r="L92" s="1177"/>
      <c r="M92" s="1177"/>
      <c r="N92" s="1177"/>
      <c r="O92" s="1177"/>
      <c r="P92" s="167"/>
      <c r="Q92" s="167"/>
      <c r="R92" s="167"/>
    </row>
    <row r="93" spans="1:18" s="166" customFormat="1" x14ac:dyDescent="0.25">
      <c r="A93" s="1177"/>
      <c r="B93" s="1177"/>
      <c r="C93" s="1177"/>
      <c r="D93" s="1177"/>
      <c r="E93" s="1177"/>
      <c r="F93" s="1177"/>
      <c r="G93" s="1177"/>
      <c r="H93" s="1177"/>
      <c r="I93" s="1177"/>
      <c r="J93" s="1177"/>
      <c r="K93" s="1177"/>
      <c r="L93" s="1177"/>
      <c r="M93" s="1177"/>
      <c r="N93" s="1177"/>
      <c r="O93" s="1177"/>
      <c r="P93" s="167"/>
      <c r="Q93" s="167"/>
      <c r="R93" s="167"/>
    </row>
    <row r="94" spans="1:18" s="166" customFormat="1" x14ac:dyDescent="0.25">
      <c r="A94" s="1177"/>
      <c r="B94" s="1177"/>
      <c r="C94" s="1177"/>
      <c r="D94" s="1177"/>
      <c r="E94" s="1177"/>
      <c r="F94" s="1177"/>
      <c r="G94" s="1177"/>
      <c r="H94" s="1177"/>
      <c r="I94" s="1177"/>
      <c r="J94" s="1177"/>
      <c r="K94" s="1177"/>
      <c r="L94" s="1177"/>
      <c r="M94" s="1177"/>
      <c r="N94" s="1177"/>
      <c r="O94" s="1177"/>
      <c r="P94" s="167"/>
      <c r="Q94" s="167"/>
      <c r="R94" s="167"/>
    </row>
    <row r="95" spans="1:18" s="166" customFormat="1" x14ac:dyDescent="0.25">
      <c r="A95" s="175"/>
      <c r="B95" s="176"/>
      <c r="D95" s="177"/>
      <c r="E95" s="177"/>
      <c r="F95" s="177"/>
      <c r="G95" s="178"/>
      <c r="H95" s="178"/>
      <c r="I95" s="178"/>
      <c r="J95" s="178"/>
      <c r="K95" s="179"/>
      <c r="L95" s="180"/>
      <c r="M95" s="180"/>
      <c r="N95" s="180"/>
      <c r="P95" s="167"/>
      <c r="Q95" s="167"/>
      <c r="R95" s="167"/>
    </row>
    <row r="96" spans="1:18" s="166" customFormat="1" x14ac:dyDescent="0.25">
      <c r="A96" s="175"/>
      <c r="B96" s="176"/>
      <c r="D96" s="177"/>
      <c r="E96" s="177"/>
      <c r="F96" s="177"/>
      <c r="G96" s="178"/>
      <c r="H96" s="178"/>
      <c r="I96" s="178"/>
      <c r="J96" s="178"/>
      <c r="K96" s="179"/>
      <c r="L96" s="180"/>
      <c r="M96" s="180"/>
      <c r="N96" s="180"/>
      <c r="P96" s="167"/>
      <c r="Q96" s="167"/>
      <c r="R96" s="167"/>
    </row>
    <row r="97" spans="1:18" s="166" customFormat="1" x14ac:dyDescent="0.25">
      <c r="A97" s="175"/>
      <c r="B97" s="176"/>
      <c r="D97" s="177"/>
      <c r="E97" s="177"/>
      <c r="F97" s="177"/>
      <c r="G97" s="178"/>
      <c r="H97" s="178"/>
      <c r="I97" s="178"/>
      <c r="J97" s="178"/>
      <c r="K97" s="179"/>
      <c r="L97" s="180"/>
      <c r="M97" s="180"/>
      <c r="N97" s="180"/>
      <c r="P97" s="167"/>
      <c r="Q97" s="167"/>
      <c r="R97" s="167"/>
    </row>
    <row r="98" spans="1:18" s="166" customFormat="1" x14ac:dyDescent="0.25">
      <c r="A98" s="175"/>
      <c r="B98" s="176"/>
      <c r="D98" s="177"/>
      <c r="E98" s="177"/>
      <c r="F98" s="177"/>
      <c r="G98" s="178"/>
      <c r="H98" s="178"/>
      <c r="I98" s="178"/>
      <c r="J98" s="178"/>
      <c r="K98" s="179"/>
      <c r="L98" s="180"/>
      <c r="M98" s="180"/>
      <c r="N98" s="180"/>
      <c r="P98" s="167"/>
      <c r="Q98" s="167"/>
      <c r="R98" s="167"/>
    </row>
    <row r="99" spans="1:18" s="166" customFormat="1" x14ac:dyDescent="0.25">
      <c r="A99" s="175"/>
      <c r="B99" s="176"/>
      <c r="D99" s="177"/>
      <c r="E99" s="177"/>
      <c r="F99" s="177"/>
      <c r="G99" s="178"/>
      <c r="H99" s="178"/>
      <c r="I99" s="178"/>
      <c r="J99" s="178"/>
      <c r="K99" s="179"/>
      <c r="L99" s="180"/>
      <c r="M99" s="180"/>
      <c r="N99" s="180"/>
      <c r="P99" s="167"/>
      <c r="Q99" s="167"/>
      <c r="R99" s="167"/>
    </row>
    <row r="100" spans="1:18" s="166" customFormat="1" x14ac:dyDescent="0.25">
      <c r="A100" s="175"/>
      <c r="B100" s="176"/>
      <c r="D100" s="177"/>
      <c r="E100" s="177"/>
      <c r="F100" s="177"/>
      <c r="G100" s="178"/>
      <c r="H100" s="178"/>
      <c r="I100" s="178"/>
      <c r="J100" s="178"/>
      <c r="K100" s="179"/>
      <c r="L100" s="180"/>
      <c r="M100" s="180"/>
      <c r="N100" s="180"/>
      <c r="P100" s="167"/>
      <c r="Q100" s="167"/>
      <c r="R100" s="167"/>
    </row>
    <row r="101" spans="1:18" s="166" customFormat="1" x14ac:dyDescent="0.25">
      <c r="A101" s="175"/>
      <c r="B101" s="176"/>
      <c r="D101" s="177"/>
      <c r="E101" s="177"/>
      <c r="F101" s="177"/>
      <c r="G101" s="178"/>
      <c r="H101" s="178"/>
      <c r="I101" s="178"/>
      <c r="J101" s="178"/>
      <c r="K101" s="179"/>
      <c r="L101" s="180"/>
      <c r="M101" s="180"/>
      <c r="N101" s="180"/>
      <c r="P101" s="167"/>
      <c r="Q101" s="167"/>
      <c r="R101" s="167"/>
    </row>
    <row r="102" spans="1:18" s="166" customFormat="1" x14ac:dyDescent="0.25">
      <c r="A102" s="175"/>
      <c r="B102" s="176"/>
      <c r="D102" s="177"/>
      <c r="E102" s="177"/>
      <c r="F102" s="177"/>
      <c r="G102" s="178"/>
      <c r="H102" s="178"/>
      <c r="I102" s="178"/>
      <c r="J102" s="178"/>
      <c r="K102" s="179"/>
      <c r="L102" s="180"/>
      <c r="M102" s="180"/>
      <c r="N102" s="180"/>
      <c r="P102" s="167"/>
      <c r="Q102" s="167"/>
      <c r="R102" s="167"/>
    </row>
    <row r="103" spans="1:18" s="166" customFormat="1" x14ac:dyDescent="0.25">
      <c r="A103" s="175"/>
      <c r="B103" s="176"/>
      <c r="D103" s="177"/>
      <c r="E103" s="177"/>
      <c r="F103" s="177"/>
      <c r="G103" s="178"/>
      <c r="H103" s="178"/>
      <c r="I103" s="178"/>
      <c r="J103" s="178"/>
      <c r="K103" s="179"/>
      <c r="L103" s="180"/>
      <c r="M103" s="180"/>
      <c r="N103" s="180"/>
      <c r="P103" s="167"/>
      <c r="Q103" s="167"/>
      <c r="R103" s="167"/>
    </row>
    <row r="104" spans="1:18" s="166" customFormat="1" x14ac:dyDescent="0.25">
      <c r="A104" s="175"/>
      <c r="B104" s="176"/>
      <c r="D104" s="177"/>
      <c r="E104" s="177"/>
      <c r="F104" s="177"/>
      <c r="G104" s="178"/>
      <c r="H104" s="178"/>
      <c r="I104" s="178"/>
      <c r="J104" s="178"/>
      <c r="K104" s="179"/>
      <c r="L104" s="180"/>
      <c r="M104" s="180"/>
      <c r="N104" s="180"/>
      <c r="P104" s="167"/>
      <c r="Q104" s="167"/>
      <c r="R104" s="167"/>
    </row>
    <row r="105" spans="1:18" s="166" customFormat="1" x14ac:dyDescent="0.25">
      <c r="A105" s="175"/>
      <c r="B105" s="176"/>
      <c r="D105" s="177"/>
      <c r="E105" s="177"/>
      <c r="F105" s="177"/>
      <c r="G105" s="178"/>
      <c r="H105" s="178"/>
      <c r="I105" s="178"/>
      <c r="J105" s="178"/>
      <c r="K105" s="179"/>
      <c r="L105" s="180"/>
      <c r="M105" s="180"/>
      <c r="N105" s="180"/>
      <c r="P105" s="167"/>
      <c r="Q105" s="167"/>
      <c r="R105" s="167"/>
    </row>
    <row r="106" spans="1:18" s="166" customFormat="1" x14ac:dyDescent="0.25">
      <c r="A106" s="175"/>
      <c r="B106" s="176"/>
      <c r="D106" s="177"/>
      <c r="E106" s="177"/>
      <c r="F106" s="177"/>
      <c r="G106" s="178"/>
      <c r="H106" s="178"/>
      <c r="I106" s="178"/>
      <c r="J106" s="178"/>
      <c r="K106" s="179"/>
      <c r="L106" s="180"/>
      <c r="M106" s="180"/>
      <c r="N106" s="180"/>
      <c r="P106" s="167"/>
      <c r="Q106" s="167"/>
      <c r="R106" s="167"/>
    </row>
    <row r="107" spans="1:18" s="166" customFormat="1" x14ac:dyDescent="0.25">
      <c r="A107" s="175"/>
      <c r="B107" s="176"/>
      <c r="D107" s="177"/>
      <c r="E107" s="177"/>
      <c r="F107" s="177"/>
      <c r="G107" s="178"/>
      <c r="H107" s="178"/>
      <c r="I107" s="178"/>
      <c r="J107" s="178"/>
      <c r="K107" s="179"/>
      <c r="L107" s="180"/>
      <c r="M107" s="180"/>
      <c r="N107" s="180"/>
      <c r="P107" s="167"/>
      <c r="Q107" s="167"/>
      <c r="R107" s="167"/>
    </row>
    <row r="108" spans="1:18" s="166" customFormat="1" x14ac:dyDescent="0.25">
      <c r="A108" s="175"/>
      <c r="B108" s="176"/>
      <c r="D108" s="177"/>
      <c r="E108" s="177"/>
      <c r="F108" s="177"/>
      <c r="G108" s="178"/>
      <c r="H108" s="178"/>
      <c r="I108" s="178"/>
      <c r="J108" s="178"/>
      <c r="K108" s="179"/>
      <c r="L108" s="180"/>
      <c r="M108" s="180"/>
      <c r="N108" s="180"/>
      <c r="P108" s="167"/>
      <c r="Q108" s="167"/>
      <c r="R108" s="167"/>
    </row>
    <row r="109" spans="1:18" s="166" customFormat="1" x14ac:dyDescent="0.25">
      <c r="A109" s="175"/>
      <c r="B109" s="176"/>
      <c r="D109" s="177"/>
      <c r="E109" s="177"/>
      <c r="F109" s="177"/>
      <c r="G109" s="178"/>
      <c r="H109" s="178"/>
      <c r="I109" s="178"/>
      <c r="J109" s="178"/>
      <c r="K109" s="179"/>
      <c r="L109" s="180"/>
      <c r="M109" s="180"/>
      <c r="N109" s="180"/>
      <c r="P109" s="167"/>
      <c r="Q109" s="167"/>
      <c r="R109" s="167"/>
    </row>
    <row r="110" spans="1:18" s="166" customFormat="1" x14ac:dyDescent="0.25">
      <c r="A110" s="175"/>
      <c r="B110" s="176"/>
      <c r="D110" s="177"/>
      <c r="E110" s="177"/>
      <c r="F110" s="177"/>
      <c r="G110" s="178"/>
      <c r="H110" s="178"/>
      <c r="I110" s="178"/>
      <c r="J110" s="178"/>
      <c r="K110" s="179"/>
      <c r="L110" s="180"/>
      <c r="M110" s="180"/>
      <c r="N110" s="180"/>
      <c r="P110" s="167"/>
      <c r="Q110" s="167"/>
      <c r="R110" s="167"/>
    </row>
    <row r="111" spans="1:18" s="166" customFormat="1" x14ac:dyDescent="0.25">
      <c r="A111" s="175"/>
      <c r="B111" s="176"/>
      <c r="D111" s="177"/>
      <c r="E111" s="177"/>
      <c r="F111" s="177"/>
      <c r="G111" s="178"/>
      <c r="H111" s="178"/>
      <c r="I111" s="178"/>
      <c r="J111" s="178"/>
      <c r="K111" s="179"/>
      <c r="L111" s="180"/>
      <c r="M111" s="180"/>
      <c r="N111" s="180"/>
      <c r="P111" s="167"/>
      <c r="Q111" s="167"/>
      <c r="R111" s="167"/>
    </row>
    <row r="112" spans="1:18" s="166" customFormat="1" x14ac:dyDescent="0.25">
      <c r="A112" s="175"/>
      <c r="B112" s="176"/>
      <c r="D112" s="177"/>
      <c r="E112" s="177"/>
      <c r="F112" s="177"/>
      <c r="G112" s="178"/>
      <c r="H112" s="178"/>
      <c r="I112" s="178"/>
      <c r="J112" s="178"/>
      <c r="K112" s="179"/>
      <c r="L112" s="180"/>
      <c r="M112" s="180"/>
      <c r="N112" s="180"/>
      <c r="P112" s="167"/>
      <c r="Q112" s="167"/>
      <c r="R112" s="167"/>
    </row>
    <row r="113" spans="1:18" s="166" customFormat="1" x14ac:dyDescent="0.25">
      <c r="A113" s="175"/>
      <c r="B113" s="176"/>
      <c r="D113" s="177"/>
      <c r="E113" s="177"/>
      <c r="F113" s="177"/>
      <c r="G113" s="178"/>
      <c r="H113" s="178"/>
      <c r="I113" s="178"/>
      <c r="J113" s="178"/>
      <c r="K113" s="179"/>
      <c r="L113" s="180"/>
      <c r="M113" s="180"/>
      <c r="N113" s="180"/>
      <c r="P113" s="167"/>
      <c r="Q113" s="167"/>
      <c r="R113" s="167"/>
    </row>
    <row r="114" spans="1:18" s="166" customFormat="1" x14ac:dyDescent="0.25">
      <c r="A114" s="175"/>
      <c r="B114" s="176"/>
      <c r="D114" s="177"/>
      <c r="E114" s="177"/>
      <c r="F114" s="177"/>
      <c r="G114" s="178"/>
      <c r="H114" s="178"/>
      <c r="I114" s="178"/>
      <c r="J114" s="178"/>
      <c r="K114" s="179"/>
      <c r="L114" s="180"/>
      <c r="M114" s="180"/>
      <c r="N114" s="180"/>
      <c r="P114" s="167"/>
      <c r="Q114" s="167"/>
      <c r="R114" s="167"/>
    </row>
    <row r="115" spans="1:18" s="166" customFormat="1" x14ac:dyDescent="0.25">
      <c r="A115" s="175"/>
      <c r="B115" s="176"/>
      <c r="D115" s="177"/>
      <c r="E115" s="177"/>
      <c r="F115" s="177"/>
      <c r="G115" s="178"/>
      <c r="H115" s="178"/>
      <c r="I115" s="178"/>
      <c r="J115" s="178"/>
      <c r="K115" s="179"/>
      <c r="L115" s="180"/>
      <c r="M115" s="180"/>
      <c r="N115" s="180"/>
      <c r="P115" s="167"/>
      <c r="Q115" s="167"/>
      <c r="R115" s="167"/>
    </row>
    <row r="116" spans="1:18" s="166" customFormat="1" x14ac:dyDescent="0.25">
      <c r="A116" s="175"/>
      <c r="B116" s="176"/>
      <c r="D116" s="177"/>
      <c r="E116" s="177"/>
      <c r="F116" s="177"/>
      <c r="G116" s="178"/>
      <c r="H116" s="178"/>
      <c r="I116" s="178"/>
      <c r="J116" s="178"/>
      <c r="K116" s="179"/>
      <c r="L116" s="180"/>
      <c r="M116" s="180"/>
      <c r="N116" s="180"/>
      <c r="P116" s="167"/>
      <c r="Q116" s="167"/>
      <c r="R116" s="167"/>
    </row>
    <row r="117" spans="1:18" s="166" customFormat="1" x14ac:dyDescent="0.25">
      <c r="A117" s="175"/>
      <c r="B117" s="176"/>
      <c r="D117" s="177"/>
      <c r="E117" s="177"/>
      <c r="F117" s="177"/>
      <c r="G117" s="178"/>
      <c r="H117" s="178"/>
      <c r="I117" s="178"/>
      <c r="J117" s="178"/>
      <c r="K117" s="179"/>
      <c r="L117" s="180"/>
      <c r="M117" s="180"/>
      <c r="N117" s="180"/>
      <c r="P117" s="167"/>
      <c r="Q117" s="167"/>
      <c r="R117" s="167"/>
    </row>
    <row r="118" spans="1:18" s="166" customFormat="1" x14ac:dyDescent="0.25">
      <c r="A118" s="175"/>
      <c r="B118" s="176"/>
      <c r="D118" s="177"/>
      <c r="E118" s="177"/>
      <c r="F118" s="177"/>
      <c r="G118" s="178"/>
      <c r="H118" s="178"/>
      <c r="I118" s="178"/>
      <c r="J118" s="178"/>
      <c r="K118" s="179"/>
      <c r="L118" s="180"/>
      <c r="M118" s="180"/>
      <c r="N118" s="180"/>
      <c r="P118" s="167"/>
      <c r="Q118" s="167"/>
      <c r="R118" s="167"/>
    </row>
    <row r="119" spans="1:18" s="166" customFormat="1" x14ac:dyDescent="0.25">
      <c r="A119" s="175"/>
      <c r="B119" s="176"/>
      <c r="D119" s="177"/>
      <c r="E119" s="177"/>
      <c r="F119" s="177"/>
      <c r="G119" s="178"/>
      <c r="H119" s="178"/>
      <c r="I119" s="178"/>
      <c r="J119" s="178"/>
      <c r="K119" s="179"/>
      <c r="L119" s="180"/>
      <c r="M119" s="180"/>
      <c r="N119" s="180"/>
      <c r="P119" s="167"/>
      <c r="Q119" s="167"/>
      <c r="R119" s="167"/>
    </row>
    <row r="120" spans="1:18" s="166" customFormat="1" x14ac:dyDescent="0.25">
      <c r="A120" s="175"/>
      <c r="B120" s="176"/>
      <c r="D120" s="177"/>
      <c r="E120" s="177"/>
      <c r="F120" s="177"/>
      <c r="G120" s="178"/>
      <c r="H120" s="178"/>
      <c r="I120" s="178"/>
      <c r="J120" s="178"/>
      <c r="K120" s="179"/>
      <c r="L120" s="180"/>
      <c r="M120" s="180"/>
      <c r="N120" s="180"/>
      <c r="P120" s="167"/>
      <c r="Q120" s="167"/>
      <c r="R120" s="167"/>
    </row>
    <row r="121" spans="1:18" s="166" customFormat="1" x14ac:dyDescent="0.25">
      <c r="A121" s="175"/>
      <c r="B121" s="176"/>
      <c r="D121" s="177"/>
      <c r="E121" s="177"/>
      <c r="F121" s="177"/>
      <c r="G121" s="178"/>
      <c r="H121" s="178"/>
      <c r="I121" s="178"/>
      <c r="J121" s="178"/>
      <c r="K121" s="179"/>
      <c r="L121" s="180"/>
      <c r="M121" s="180"/>
      <c r="N121" s="180"/>
      <c r="P121" s="167"/>
      <c r="Q121" s="167"/>
      <c r="R121" s="167"/>
    </row>
    <row r="122" spans="1:18" s="166" customFormat="1" x14ac:dyDescent="0.25">
      <c r="A122" s="175"/>
      <c r="B122" s="176"/>
      <c r="D122" s="177"/>
      <c r="E122" s="177"/>
      <c r="F122" s="177"/>
      <c r="G122" s="178"/>
      <c r="H122" s="178"/>
      <c r="I122" s="178"/>
      <c r="J122" s="178"/>
      <c r="K122" s="179"/>
      <c r="L122" s="180"/>
      <c r="M122" s="180"/>
      <c r="N122" s="180"/>
      <c r="P122" s="167"/>
      <c r="Q122" s="167"/>
      <c r="R122" s="167"/>
    </row>
    <row r="123" spans="1:18" s="166" customFormat="1" x14ac:dyDescent="0.25">
      <c r="A123" s="175"/>
      <c r="B123" s="176"/>
      <c r="D123" s="177"/>
      <c r="E123" s="177"/>
      <c r="F123" s="177"/>
      <c r="G123" s="178"/>
      <c r="H123" s="178"/>
      <c r="I123" s="178"/>
      <c r="J123" s="178"/>
      <c r="K123" s="179"/>
      <c r="L123" s="180"/>
      <c r="M123" s="180"/>
      <c r="N123" s="180"/>
      <c r="P123" s="167"/>
      <c r="Q123" s="167"/>
      <c r="R123" s="167"/>
    </row>
    <row r="124" spans="1:18" s="166" customFormat="1" x14ac:dyDescent="0.25">
      <c r="A124" s="175"/>
      <c r="B124" s="176"/>
      <c r="D124" s="177"/>
      <c r="E124" s="177"/>
      <c r="F124" s="177"/>
      <c r="G124" s="178"/>
      <c r="H124" s="178"/>
      <c r="I124" s="178"/>
      <c r="J124" s="178"/>
      <c r="K124" s="179"/>
      <c r="L124" s="180"/>
      <c r="M124" s="180"/>
      <c r="N124" s="180"/>
      <c r="P124" s="167"/>
      <c r="Q124" s="167"/>
      <c r="R124" s="167"/>
    </row>
    <row r="125" spans="1:18" s="166" customFormat="1" x14ac:dyDescent="0.25">
      <c r="A125" s="175"/>
      <c r="B125" s="176"/>
      <c r="D125" s="177"/>
      <c r="E125" s="177"/>
      <c r="F125" s="177"/>
      <c r="G125" s="178"/>
      <c r="H125" s="178"/>
      <c r="I125" s="178"/>
      <c r="J125" s="178"/>
      <c r="K125" s="179"/>
      <c r="L125" s="180"/>
      <c r="M125" s="180"/>
      <c r="N125" s="180"/>
      <c r="P125" s="167"/>
      <c r="Q125" s="167"/>
      <c r="R125" s="167"/>
    </row>
    <row r="126" spans="1:18" s="166" customFormat="1" x14ac:dyDescent="0.25">
      <c r="A126" s="175"/>
      <c r="B126" s="176"/>
      <c r="D126" s="177"/>
      <c r="E126" s="177"/>
      <c r="F126" s="177"/>
      <c r="G126" s="178"/>
      <c r="H126" s="178"/>
      <c r="I126" s="178"/>
      <c r="J126" s="178"/>
      <c r="K126" s="179"/>
      <c r="L126" s="180"/>
      <c r="M126" s="180"/>
      <c r="N126" s="180"/>
      <c r="P126" s="167"/>
      <c r="Q126" s="167"/>
      <c r="R126" s="167"/>
    </row>
    <row r="127" spans="1:18" s="166" customFormat="1" x14ac:dyDescent="0.25">
      <c r="A127" s="175"/>
      <c r="B127" s="176"/>
      <c r="D127" s="177"/>
      <c r="E127" s="177"/>
      <c r="F127" s="177"/>
      <c r="G127" s="178"/>
      <c r="H127" s="178"/>
      <c r="I127" s="178"/>
      <c r="J127" s="178"/>
      <c r="K127" s="179"/>
      <c r="L127" s="180"/>
      <c r="M127" s="180"/>
      <c r="N127" s="180"/>
      <c r="P127" s="167"/>
      <c r="Q127" s="167"/>
      <c r="R127" s="167"/>
    </row>
    <row r="128" spans="1:18" s="166" customFormat="1" x14ac:dyDescent="0.25">
      <c r="A128" s="175"/>
      <c r="B128" s="176"/>
      <c r="D128" s="177"/>
      <c r="E128" s="177"/>
      <c r="F128" s="177"/>
      <c r="G128" s="178"/>
      <c r="H128" s="178"/>
      <c r="I128" s="178"/>
      <c r="J128" s="178"/>
      <c r="K128" s="179"/>
      <c r="L128" s="180"/>
      <c r="M128" s="180"/>
      <c r="N128" s="180"/>
      <c r="P128" s="167"/>
      <c r="Q128" s="167"/>
      <c r="R128" s="167"/>
    </row>
    <row r="129" spans="1:18" s="166" customFormat="1" x14ac:dyDescent="0.25">
      <c r="A129" s="175"/>
      <c r="B129" s="176"/>
      <c r="D129" s="177"/>
      <c r="E129" s="177"/>
      <c r="F129" s="177"/>
      <c r="G129" s="178"/>
      <c r="H129" s="178"/>
      <c r="I129" s="178"/>
      <c r="J129" s="178"/>
      <c r="K129" s="179"/>
      <c r="L129" s="180"/>
      <c r="M129" s="180"/>
      <c r="N129" s="180"/>
      <c r="P129" s="167"/>
      <c r="Q129" s="167"/>
      <c r="R129" s="167"/>
    </row>
    <row r="130" spans="1:18" s="166" customFormat="1" x14ac:dyDescent="0.25">
      <c r="A130" s="175"/>
      <c r="B130" s="176"/>
      <c r="D130" s="177"/>
      <c r="E130" s="177"/>
      <c r="F130" s="177"/>
      <c r="G130" s="178"/>
      <c r="H130" s="178"/>
      <c r="I130" s="178"/>
      <c r="J130" s="178"/>
      <c r="K130" s="179"/>
      <c r="L130" s="180"/>
      <c r="M130" s="180"/>
      <c r="N130" s="180"/>
      <c r="P130" s="167"/>
      <c r="Q130" s="167"/>
      <c r="R130" s="167"/>
    </row>
  </sheetData>
  <sheetProtection password="FB6B" sheet="1" formatCells="0" formatColumns="0" formatRows="0"/>
  <mergeCells count="109">
    <mergeCell ref="G22:O22"/>
    <mergeCell ref="G23:G26"/>
    <mergeCell ref="H23:O23"/>
    <mergeCell ref="H24:H26"/>
    <mergeCell ref="I24:N24"/>
    <mergeCell ref="O24:O26"/>
    <mergeCell ref="I25:J25"/>
    <mergeCell ref="K25:L25"/>
    <mergeCell ref="M25:N25"/>
    <mergeCell ref="D1:E1"/>
    <mergeCell ref="A8:G8"/>
    <mergeCell ref="A89:O90"/>
    <mergeCell ref="A91:O92"/>
    <mergeCell ref="A93:O94"/>
    <mergeCell ref="A79:O80"/>
    <mergeCell ref="A81:O82"/>
    <mergeCell ref="A83:O84"/>
    <mergeCell ref="A85:O86"/>
    <mergeCell ref="A87:O88"/>
    <mergeCell ref="K16:L16"/>
    <mergeCell ref="B1:C1"/>
    <mergeCell ref="F1:G1"/>
    <mergeCell ref="J12:O12"/>
    <mergeCell ref="A9:G9"/>
    <mergeCell ref="A10:G10"/>
    <mergeCell ref="A7:G7"/>
    <mergeCell ref="H8:O8"/>
    <mergeCell ref="H9:O9"/>
    <mergeCell ref="H10:O10"/>
    <mergeCell ref="A4:C4"/>
    <mergeCell ref="A5:C5"/>
    <mergeCell ref="D4:J4"/>
    <mergeCell ref="D5:J5"/>
    <mergeCell ref="A3:O3"/>
    <mergeCell ref="A6:G6"/>
    <mergeCell ref="H7:O7"/>
    <mergeCell ref="B18:E18"/>
    <mergeCell ref="B19:E19"/>
    <mergeCell ref="B41:E41"/>
    <mergeCell ref="B34:E34"/>
    <mergeCell ref="B36:E36"/>
    <mergeCell ref="B37:E37"/>
    <mergeCell ref="B38:E38"/>
    <mergeCell ref="B39:E39"/>
    <mergeCell ref="B40:E40"/>
    <mergeCell ref="B28:E28"/>
    <mergeCell ref="B29:E29"/>
    <mergeCell ref="B30:E30"/>
    <mergeCell ref="B31:E31"/>
    <mergeCell ref="B35:E35"/>
    <mergeCell ref="G13:O13"/>
    <mergeCell ref="A13:A17"/>
    <mergeCell ref="B27:E27"/>
    <mergeCell ref="O15:O17"/>
    <mergeCell ref="A22:A26"/>
    <mergeCell ref="B22:E26"/>
    <mergeCell ref="F22:F26"/>
    <mergeCell ref="B75:E75"/>
    <mergeCell ref="B76:E76"/>
    <mergeCell ref="B77:E77"/>
    <mergeCell ref="A59:A63"/>
    <mergeCell ref="B59:E63"/>
    <mergeCell ref="B68:E68"/>
    <mergeCell ref="B69:E69"/>
    <mergeCell ref="B70:E70"/>
    <mergeCell ref="B71:E71"/>
    <mergeCell ref="B72:E72"/>
    <mergeCell ref="B67:E67"/>
    <mergeCell ref="B64:E64"/>
    <mergeCell ref="B65:E65"/>
    <mergeCell ref="B66:E66"/>
    <mergeCell ref="B73:E73"/>
    <mergeCell ref="B74:E74"/>
    <mergeCell ref="B43:E43"/>
    <mergeCell ref="F59:F63"/>
    <mergeCell ref="G59:O59"/>
    <mergeCell ref="I62:J62"/>
    <mergeCell ref="K62:L62"/>
    <mergeCell ref="G60:G63"/>
    <mergeCell ref="H60:O60"/>
    <mergeCell ref="M62:N62"/>
    <mergeCell ref="H61:H63"/>
    <mergeCell ref="I61:N61"/>
    <mergeCell ref="O61:O63"/>
    <mergeCell ref="A58:E58"/>
    <mergeCell ref="A12:E12"/>
    <mergeCell ref="A21:E21"/>
    <mergeCell ref="A57:O57"/>
    <mergeCell ref="D55:E55"/>
    <mergeCell ref="F55:G55"/>
    <mergeCell ref="B55:C55"/>
    <mergeCell ref="B46:H46"/>
    <mergeCell ref="B47:H47"/>
    <mergeCell ref="B52:H52"/>
    <mergeCell ref="B48:H48"/>
    <mergeCell ref="B51:H51"/>
    <mergeCell ref="B50:H50"/>
    <mergeCell ref="I16:J16"/>
    <mergeCell ref="B33:E33"/>
    <mergeCell ref="B32:E32"/>
    <mergeCell ref="B49:H49"/>
    <mergeCell ref="G14:G17"/>
    <mergeCell ref="H14:O14"/>
    <mergeCell ref="M16:N16"/>
    <mergeCell ref="H15:H17"/>
    <mergeCell ref="I15:N15"/>
    <mergeCell ref="B13:E17"/>
    <mergeCell ref="F13:F17"/>
    <mergeCell ref="B42:E42"/>
  </mergeCells>
  <conditionalFormatting sqref="I48:I52 F19:O21 F65:O77 F28:O43">
    <cfRule type="cellIs" dxfId="38" priority="1" operator="lessThan">
      <formula>0</formula>
    </cfRule>
  </conditionalFormatting>
  <pageMargins left="0" right="0" top="0" bottom="0" header="0.39370078740157483" footer="0.31496062992125984"/>
  <pageSetup paperSize="9" scale="33" orientation="landscape" r:id="rId1"/>
  <headerFooter alignWithMargins="0">
    <oddFooter>&amp;RСтор.  &amp;P</oddFooter>
  </headerFooter>
  <rowBreaks count="1" manualBreakCount="1">
    <brk id="53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Аркуш5">
    <tabColor rgb="FF92D050"/>
  </sheetPr>
  <dimension ref="A1:AL276"/>
  <sheetViews>
    <sheetView showGridLines="0" view="pageBreakPreview" topLeftCell="A61" zoomScale="60" zoomScaleNormal="50" zoomScalePageLayoutView="50" workbookViewId="0">
      <selection activeCell="H20" sqref="H20:H21"/>
    </sheetView>
  </sheetViews>
  <sheetFormatPr defaultRowHeight="18.75" x14ac:dyDescent="0.25"/>
  <cols>
    <col min="1" max="1" width="12.5703125" style="26" customWidth="1"/>
    <col min="2" max="2" width="14.85546875" style="1" customWidth="1"/>
    <col min="3" max="3" width="42.5703125" style="2" customWidth="1"/>
    <col min="4" max="4" width="17.42578125" style="96" customWidth="1"/>
    <col min="5" max="5" width="23.5703125" style="96" customWidth="1"/>
    <col min="6" max="6" width="19.5703125" style="101" customWidth="1"/>
    <col min="7" max="7" width="17.5703125" style="96" customWidth="1"/>
    <col min="8" max="8" width="21.85546875" style="4" customWidth="1"/>
    <col min="9" max="9" width="21.5703125" style="4" customWidth="1"/>
    <col min="10" max="10" width="27.140625" style="4" customWidth="1"/>
    <col min="11" max="11" width="27.42578125" style="4" customWidth="1"/>
    <col min="12" max="12" width="19.5703125" style="4" customWidth="1"/>
    <col min="13" max="13" width="21.140625" style="16" customWidth="1"/>
    <col min="14" max="14" width="21.42578125" style="16" customWidth="1"/>
    <col min="15" max="15" width="22.5703125" style="14" customWidth="1"/>
    <col min="16" max="16" width="0.140625" style="2" customWidth="1"/>
    <col min="17" max="17" width="17.42578125" style="68" customWidth="1"/>
    <col min="18" max="18" width="15.42578125" style="130" customWidth="1"/>
    <col min="19" max="20" width="8.85546875" style="130"/>
    <col min="21" max="21" width="12" style="130" bestFit="1" customWidth="1"/>
    <col min="22" max="38" width="8.85546875" style="130"/>
    <col min="39" max="231" width="8.85546875" style="2"/>
    <col min="232" max="232" width="78.5703125" style="2" customWidth="1"/>
    <col min="233" max="235" width="19.42578125" style="2" customWidth="1"/>
    <col min="236" max="487" width="8.85546875" style="2"/>
    <col min="488" max="488" width="78.5703125" style="2" customWidth="1"/>
    <col min="489" max="491" width="19.42578125" style="2" customWidth="1"/>
    <col min="492" max="743" width="8.85546875" style="2"/>
    <col min="744" max="744" width="78.5703125" style="2" customWidth="1"/>
    <col min="745" max="747" width="19.42578125" style="2" customWidth="1"/>
    <col min="748" max="999" width="8.85546875" style="2"/>
    <col min="1000" max="1000" width="78.5703125" style="2" customWidth="1"/>
    <col min="1001" max="1003" width="19.42578125" style="2" customWidth="1"/>
    <col min="1004" max="1255" width="8.85546875" style="2"/>
    <col min="1256" max="1256" width="78.5703125" style="2" customWidth="1"/>
    <col min="1257" max="1259" width="19.42578125" style="2" customWidth="1"/>
    <col min="1260" max="1511" width="8.85546875" style="2"/>
    <col min="1512" max="1512" width="78.5703125" style="2" customWidth="1"/>
    <col min="1513" max="1515" width="19.42578125" style="2" customWidth="1"/>
    <col min="1516" max="1767" width="8.85546875" style="2"/>
    <col min="1768" max="1768" width="78.5703125" style="2" customWidth="1"/>
    <col min="1769" max="1771" width="19.42578125" style="2" customWidth="1"/>
    <col min="1772" max="2023" width="8.85546875" style="2"/>
    <col min="2024" max="2024" width="78.5703125" style="2" customWidth="1"/>
    <col min="2025" max="2027" width="19.42578125" style="2" customWidth="1"/>
    <col min="2028" max="2279" width="8.85546875" style="2"/>
    <col min="2280" max="2280" width="78.5703125" style="2" customWidth="1"/>
    <col min="2281" max="2283" width="19.42578125" style="2" customWidth="1"/>
    <col min="2284" max="2535" width="8.85546875" style="2"/>
    <col min="2536" max="2536" width="78.5703125" style="2" customWidth="1"/>
    <col min="2537" max="2539" width="19.42578125" style="2" customWidth="1"/>
    <col min="2540" max="2791" width="8.85546875" style="2"/>
    <col min="2792" max="2792" width="78.5703125" style="2" customWidth="1"/>
    <col min="2793" max="2795" width="19.42578125" style="2" customWidth="1"/>
    <col min="2796" max="3047" width="8.85546875" style="2"/>
    <col min="3048" max="3048" width="78.5703125" style="2" customWidth="1"/>
    <col min="3049" max="3051" width="19.42578125" style="2" customWidth="1"/>
    <col min="3052" max="3303" width="8.85546875" style="2"/>
    <col min="3304" max="3304" width="78.5703125" style="2" customWidth="1"/>
    <col min="3305" max="3307" width="19.42578125" style="2" customWidth="1"/>
    <col min="3308" max="3559" width="8.85546875" style="2"/>
    <col min="3560" max="3560" width="78.5703125" style="2" customWidth="1"/>
    <col min="3561" max="3563" width="19.42578125" style="2" customWidth="1"/>
    <col min="3564" max="3815" width="8.85546875" style="2"/>
    <col min="3816" max="3816" width="78.5703125" style="2" customWidth="1"/>
    <col min="3817" max="3819" width="19.42578125" style="2" customWidth="1"/>
    <col min="3820" max="4071" width="8.85546875" style="2"/>
    <col min="4072" max="4072" width="78.5703125" style="2" customWidth="1"/>
    <col min="4073" max="4075" width="19.42578125" style="2" customWidth="1"/>
    <col min="4076" max="4327" width="8.85546875" style="2"/>
    <col min="4328" max="4328" width="78.5703125" style="2" customWidth="1"/>
    <col min="4329" max="4331" width="19.42578125" style="2" customWidth="1"/>
    <col min="4332" max="4583" width="8.85546875" style="2"/>
    <col min="4584" max="4584" width="78.5703125" style="2" customWidth="1"/>
    <col min="4585" max="4587" width="19.42578125" style="2" customWidth="1"/>
    <col min="4588" max="4839" width="8.85546875" style="2"/>
    <col min="4840" max="4840" width="78.5703125" style="2" customWidth="1"/>
    <col min="4841" max="4843" width="19.42578125" style="2" customWidth="1"/>
    <col min="4844" max="5095" width="8.85546875" style="2"/>
    <col min="5096" max="5096" width="78.5703125" style="2" customWidth="1"/>
    <col min="5097" max="5099" width="19.42578125" style="2" customWidth="1"/>
    <col min="5100" max="5351" width="8.85546875" style="2"/>
    <col min="5352" max="5352" width="78.5703125" style="2" customWidth="1"/>
    <col min="5353" max="5355" width="19.42578125" style="2" customWidth="1"/>
    <col min="5356" max="5607" width="8.85546875" style="2"/>
    <col min="5608" max="5608" width="78.5703125" style="2" customWidth="1"/>
    <col min="5609" max="5611" width="19.42578125" style="2" customWidth="1"/>
    <col min="5612" max="5863" width="8.85546875" style="2"/>
    <col min="5864" max="5864" width="78.5703125" style="2" customWidth="1"/>
    <col min="5865" max="5867" width="19.42578125" style="2" customWidth="1"/>
    <col min="5868" max="6119" width="8.85546875" style="2"/>
    <col min="6120" max="6120" width="78.5703125" style="2" customWidth="1"/>
    <col min="6121" max="6123" width="19.42578125" style="2" customWidth="1"/>
    <col min="6124" max="6375" width="8.85546875" style="2"/>
    <col min="6376" max="6376" width="78.5703125" style="2" customWidth="1"/>
    <col min="6377" max="6379" width="19.42578125" style="2" customWidth="1"/>
    <col min="6380" max="6631" width="8.85546875" style="2"/>
    <col min="6632" max="6632" width="78.5703125" style="2" customWidth="1"/>
    <col min="6633" max="6635" width="19.42578125" style="2" customWidth="1"/>
    <col min="6636" max="6887" width="8.85546875" style="2"/>
    <col min="6888" max="6888" width="78.5703125" style="2" customWidth="1"/>
    <col min="6889" max="6891" width="19.42578125" style="2" customWidth="1"/>
    <col min="6892" max="7143" width="8.85546875" style="2"/>
    <col min="7144" max="7144" width="78.5703125" style="2" customWidth="1"/>
    <col min="7145" max="7147" width="19.42578125" style="2" customWidth="1"/>
    <col min="7148" max="7399" width="8.85546875" style="2"/>
    <col min="7400" max="7400" width="78.5703125" style="2" customWidth="1"/>
    <col min="7401" max="7403" width="19.42578125" style="2" customWidth="1"/>
    <col min="7404" max="7655" width="8.85546875" style="2"/>
    <col min="7656" max="7656" width="78.5703125" style="2" customWidth="1"/>
    <col min="7657" max="7659" width="19.42578125" style="2" customWidth="1"/>
    <col min="7660" max="7911" width="8.85546875" style="2"/>
    <col min="7912" max="7912" width="78.5703125" style="2" customWidth="1"/>
    <col min="7913" max="7915" width="19.42578125" style="2" customWidth="1"/>
    <col min="7916" max="8167" width="8.85546875" style="2"/>
    <col min="8168" max="8168" width="78.5703125" style="2" customWidth="1"/>
    <col min="8169" max="8171" width="19.42578125" style="2" customWidth="1"/>
    <col min="8172" max="8423" width="8.85546875" style="2"/>
    <col min="8424" max="8424" width="78.5703125" style="2" customWidth="1"/>
    <col min="8425" max="8427" width="19.42578125" style="2" customWidth="1"/>
    <col min="8428" max="8679" width="8.85546875" style="2"/>
    <col min="8680" max="8680" width="78.5703125" style="2" customWidth="1"/>
    <col min="8681" max="8683" width="19.42578125" style="2" customWidth="1"/>
    <col min="8684" max="8935" width="8.85546875" style="2"/>
    <col min="8936" max="8936" width="78.5703125" style="2" customWidth="1"/>
    <col min="8937" max="8939" width="19.42578125" style="2" customWidth="1"/>
    <col min="8940" max="9191" width="8.85546875" style="2"/>
    <col min="9192" max="9192" width="78.5703125" style="2" customWidth="1"/>
    <col min="9193" max="9195" width="19.42578125" style="2" customWidth="1"/>
    <col min="9196" max="9447" width="8.85546875" style="2"/>
    <col min="9448" max="9448" width="78.5703125" style="2" customWidth="1"/>
    <col min="9449" max="9451" width="19.42578125" style="2" customWidth="1"/>
    <col min="9452" max="9703" width="8.85546875" style="2"/>
    <col min="9704" max="9704" width="78.5703125" style="2" customWidth="1"/>
    <col min="9705" max="9707" width="19.42578125" style="2" customWidth="1"/>
    <col min="9708" max="9959" width="8.85546875" style="2"/>
    <col min="9960" max="9960" width="78.5703125" style="2" customWidth="1"/>
    <col min="9961" max="9963" width="19.42578125" style="2" customWidth="1"/>
    <col min="9964" max="10215" width="8.85546875" style="2"/>
    <col min="10216" max="10216" width="78.5703125" style="2" customWidth="1"/>
    <col min="10217" max="10219" width="19.42578125" style="2" customWidth="1"/>
    <col min="10220" max="10471" width="8.85546875" style="2"/>
    <col min="10472" max="10472" width="78.5703125" style="2" customWidth="1"/>
    <col min="10473" max="10475" width="19.42578125" style="2" customWidth="1"/>
    <col min="10476" max="10727" width="8.85546875" style="2"/>
    <col min="10728" max="10728" width="78.5703125" style="2" customWidth="1"/>
    <col min="10729" max="10731" width="19.42578125" style="2" customWidth="1"/>
    <col min="10732" max="10983" width="8.85546875" style="2"/>
    <col min="10984" max="10984" width="78.5703125" style="2" customWidth="1"/>
    <col min="10985" max="10987" width="19.42578125" style="2" customWidth="1"/>
    <col min="10988" max="11239" width="8.85546875" style="2"/>
    <col min="11240" max="11240" width="78.5703125" style="2" customWidth="1"/>
    <col min="11241" max="11243" width="19.42578125" style="2" customWidth="1"/>
    <col min="11244" max="11495" width="8.85546875" style="2"/>
    <col min="11496" max="11496" width="78.5703125" style="2" customWidth="1"/>
    <col min="11497" max="11499" width="19.42578125" style="2" customWidth="1"/>
    <col min="11500" max="11751" width="8.85546875" style="2"/>
    <col min="11752" max="11752" width="78.5703125" style="2" customWidth="1"/>
    <col min="11753" max="11755" width="19.42578125" style="2" customWidth="1"/>
    <col min="11756" max="12007" width="8.85546875" style="2"/>
    <col min="12008" max="12008" width="78.5703125" style="2" customWidth="1"/>
    <col min="12009" max="12011" width="19.42578125" style="2" customWidth="1"/>
    <col min="12012" max="12263" width="8.85546875" style="2"/>
    <col min="12264" max="12264" width="78.5703125" style="2" customWidth="1"/>
    <col min="12265" max="12267" width="19.42578125" style="2" customWidth="1"/>
    <col min="12268" max="12519" width="8.85546875" style="2"/>
    <col min="12520" max="12520" width="78.5703125" style="2" customWidth="1"/>
    <col min="12521" max="12523" width="19.42578125" style="2" customWidth="1"/>
    <col min="12524" max="12775" width="8.85546875" style="2"/>
    <col min="12776" max="12776" width="78.5703125" style="2" customWidth="1"/>
    <col min="12777" max="12779" width="19.42578125" style="2" customWidth="1"/>
    <col min="12780" max="13031" width="8.85546875" style="2"/>
    <col min="13032" max="13032" width="78.5703125" style="2" customWidth="1"/>
    <col min="13033" max="13035" width="19.42578125" style="2" customWidth="1"/>
    <col min="13036" max="13287" width="8.85546875" style="2"/>
    <col min="13288" max="13288" width="78.5703125" style="2" customWidth="1"/>
    <col min="13289" max="13291" width="19.42578125" style="2" customWidth="1"/>
    <col min="13292" max="13543" width="8.85546875" style="2"/>
    <col min="13544" max="13544" width="78.5703125" style="2" customWidth="1"/>
    <col min="13545" max="13547" width="19.42578125" style="2" customWidth="1"/>
    <col min="13548" max="13799" width="8.85546875" style="2"/>
    <col min="13800" max="13800" width="78.5703125" style="2" customWidth="1"/>
    <col min="13801" max="13803" width="19.42578125" style="2" customWidth="1"/>
    <col min="13804" max="14055" width="8.85546875" style="2"/>
    <col min="14056" max="14056" width="78.5703125" style="2" customWidth="1"/>
    <col min="14057" max="14059" width="19.42578125" style="2" customWidth="1"/>
    <col min="14060" max="14311" width="8.85546875" style="2"/>
    <col min="14312" max="14312" width="78.5703125" style="2" customWidth="1"/>
    <col min="14313" max="14315" width="19.42578125" style="2" customWidth="1"/>
    <col min="14316" max="14567" width="8.85546875" style="2"/>
    <col min="14568" max="14568" width="78.5703125" style="2" customWidth="1"/>
    <col min="14569" max="14571" width="19.42578125" style="2" customWidth="1"/>
    <col min="14572" max="14823" width="8.85546875" style="2"/>
    <col min="14824" max="14824" width="78.5703125" style="2" customWidth="1"/>
    <col min="14825" max="14827" width="19.42578125" style="2" customWidth="1"/>
    <col min="14828" max="15079" width="8.85546875" style="2"/>
    <col min="15080" max="15080" width="78.5703125" style="2" customWidth="1"/>
    <col min="15081" max="15083" width="19.42578125" style="2" customWidth="1"/>
    <col min="15084" max="15335" width="8.85546875" style="2"/>
    <col min="15336" max="15336" width="78.5703125" style="2" customWidth="1"/>
    <col min="15337" max="15339" width="19.42578125" style="2" customWidth="1"/>
    <col min="15340" max="15591" width="8.85546875" style="2"/>
    <col min="15592" max="15592" width="78.5703125" style="2" customWidth="1"/>
    <col min="15593" max="15595" width="19.42578125" style="2" customWidth="1"/>
    <col min="15596" max="15847" width="8.85546875" style="2"/>
    <col min="15848" max="15848" width="78.5703125" style="2" customWidth="1"/>
    <col min="15849" max="15851" width="19.42578125" style="2" customWidth="1"/>
    <col min="15852" max="16103" width="8.85546875" style="2"/>
    <col min="16104" max="16104" width="78.5703125" style="2" customWidth="1"/>
    <col min="16105" max="16107" width="19.42578125" style="2" customWidth="1"/>
    <col min="16108" max="16364" width="8.85546875" style="2"/>
    <col min="16365" max="16384" width="9.140625" style="2" customWidth="1"/>
  </cols>
  <sheetData>
    <row r="1" spans="1:38" ht="22.35" customHeight="1" x14ac:dyDescent="0.25">
      <c r="B1" s="1088" t="s">
        <v>0</v>
      </c>
      <c r="C1" s="1088"/>
      <c r="D1" s="1182">
        <f>'Звіт 1,2,3'!D1:H1</f>
        <v>37650571</v>
      </c>
      <c r="E1" s="1183"/>
      <c r="F1" s="1184"/>
      <c r="G1" s="1087" t="s">
        <v>1</v>
      </c>
      <c r="H1" s="1087"/>
      <c r="I1" s="102">
        <f>'Звіт 1,2,3'!H1</f>
        <v>150</v>
      </c>
      <c r="J1" s="110"/>
      <c r="K1" s="110"/>
      <c r="L1" s="110"/>
      <c r="M1" s="110"/>
      <c r="N1" s="110"/>
      <c r="O1" s="346" t="s">
        <v>391</v>
      </c>
      <c r="P1" s="346"/>
      <c r="Q1" s="346"/>
    </row>
    <row r="2" spans="1:38" ht="22.35" customHeight="1" x14ac:dyDescent="0.25">
      <c r="D2" s="101"/>
      <c r="E2" s="101"/>
      <c r="G2" s="4"/>
      <c r="J2" s="11"/>
      <c r="K2" s="2"/>
      <c r="L2" s="2"/>
      <c r="M2" s="452"/>
      <c r="N2" s="2"/>
      <c r="O2" s="347" t="s">
        <v>346</v>
      </c>
      <c r="P2" s="347"/>
      <c r="Q2" s="347"/>
    </row>
    <row r="3" spans="1:38" ht="19.350000000000001" customHeight="1" x14ac:dyDescent="0.25">
      <c r="A3" s="1085" t="str">
        <f>'Звіт 1,2,3'!A3</f>
        <v>ЗВІТ ПРО ДОХОДИ ТА ВИТРАТИ за 1 півріччя 2020 року</v>
      </c>
      <c r="B3" s="1085"/>
      <c r="C3" s="1085"/>
      <c r="D3" s="1085"/>
      <c r="E3" s="1085"/>
      <c r="F3" s="1085"/>
      <c r="G3" s="1085"/>
      <c r="H3" s="1085"/>
      <c r="I3" s="1085"/>
      <c r="J3" s="1085"/>
      <c r="K3" s="1085"/>
      <c r="L3" s="1085"/>
      <c r="M3" s="1085"/>
      <c r="N3" s="1085"/>
      <c r="O3" s="1085"/>
      <c r="P3" s="1085"/>
      <c r="Q3" s="1085"/>
    </row>
    <row r="4" spans="1:38" s="68" customFormat="1" ht="37.700000000000003" customHeight="1" thickBot="1" x14ac:dyDescent="0.3">
      <c r="A4" s="1214" t="s">
        <v>681</v>
      </c>
      <c r="B4" s="1214"/>
      <c r="C4" s="1214"/>
      <c r="D4" s="54"/>
      <c r="E4" s="54"/>
      <c r="F4" s="54"/>
      <c r="G4" s="54"/>
      <c r="H4" s="54"/>
      <c r="I4" s="54"/>
      <c r="J4" s="54"/>
      <c r="K4" s="54"/>
      <c r="L4" s="54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</row>
    <row r="5" spans="1:38" s="68" customFormat="1" ht="42" customHeight="1" x14ac:dyDescent="0.25">
      <c r="A5" s="430" t="s">
        <v>6</v>
      </c>
      <c r="B5" s="1089" t="s">
        <v>7</v>
      </c>
      <c r="C5" s="1089"/>
      <c r="D5" s="1089"/>
      <c r="E5" s="1089"/>
      <c r="F5" s="58" t="s">
        <v>89</v>
      </c>
      <c r="G5" s="83" t="s">
        <v>342</v>
      </c>
      <c r="H5" s="58" t="s">
        <v>8</v>
      </c>
      <c r="I5" s="84" t="s">
        <v>342</v>
      </c>
      <c r="J5" s="1203" t="s">
        <v>571</v>
      </c>
      <c r="K5" s="1203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</row>
    <row r="6" spans="1:38" s="68" customFormat="1" ht="37.35" customHeight="1" x14ac:dyDescent="0.25">
      <c r="A6" s="431" t="s">
        <v>9</v>
      </c>
      <c r="B6" s="1112">
        <v>2</v>
      </c>
      <c r="C6" s="1112"/>
      <c r="D6" s="1112"/>
      <c r="E6" s="1112"/>
      <c r="F6" s="64">
        <v>3</v>
      </c>
      <c r="G6" s="65">
        <v>4</v>
      </c>
      <c r="H6" s="64">
        <v>5</v>
      </c>
      <c r="I6" s="490">
        <v>6</v>
      </c>
      <c r="J6" s="469">
        <v>7</v>
      </c>
      <c r="K6" s="469">
        <v>8</v>
      </c>
      <c r="L6" s="1197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</row>
    <row r="7" spans="1:38" ht="28.7" customHeight="1" thickBot="1" x14ac:dyDescent="0.3">
      <c r="A7" s="491" t="s">
        <v>322</v>
      </c>
      <c r="B7" s="1215" t="s">
        <v>323</v>
      </c>
      <c r="C7" s="1215"/>
      <c r="D7" s="1215"/>
      <c r="E7" s="1215"/>
      <c r="F7" s="472">
        <f>SUM(F8,F14,F19)</f>
        <v>1661037.29</v>
      </c>
      <c r="G7" s="473">
        <v>1</v>
      </c>
      <c r="H7" s="472">
        <f>SUM(H8,H14,H19)</f>
        <v>4615221.83</v>
      </c>
      <c r="I7" s="492">
        <v>1</v>
      </c>
      <c r="J7" s="1207"/>
      <c r="K7" s="1207"/>
      <c r="L7" s="1197"/>
    </row>
    <row r="8" spans="1:38" ht="28.7" customHeight="1" x14ac:dyDescent="0.25">
      <c r="A8" s="474" t="s">
        <v>223</v>
      </c>
      <c r="B8" s="1216" t="s">
        <v>97</v>
      </c>
      <c r="C8" s="1216"/>
      <c r="D8" s="1216"/>
      <c r="E8" s="1216"/>
      <c r="F8" s="475">
        <f>SUM(F9,F10,F11,F13)</f>
        <v>0</v>
      </c>
      <c r="G8" s="476">
        <f>F8/$F$7</f>
        <v>0</v>
      </c>
      <c r="H8" s="475">
        <f>SUM(H9,H10,H11,H13)</f>
        <v>2948311.84</v>
      </c>
      <c r="I8" s="477">
        <f>H8/$H$7</f>
        <v>0.63882343007551601</v>
      </c>
      <c r="J8" s="1207"/>
      <c r="K8" s="1207"/>
      <c r="L8" s="1197"/>
    </row>
    <row r="9" spans="1:38" ht="28.7" customHeight="1" x14ac:dyDescent="0.25">
      <c r="A9" s="478" t="s">
        <v>224</v>
      </c>
      <c r="B9" s="1217" t="s">
        <v>220</v>
      </c>
      <c r="C9" s="1217"/>
      <c r="D9" s="1217"/>
      <c r="E9" s="1217"/>
      <c r="F9" s="80">
        <v>0</v>
      </c>
      <c r="G9" s="426" t="s">
        <v>341</v>
      </c>
      <c r="H9" s="80">
        <v>0</v>
      </c>
      <c r="I9" s="479" t="s">
        <v>341</v>
      </c>
      <c r="J9" s="1207"/>
      <c r="K9" s="1207"/>
      <c r="L9" s="1197"/>
    </row>
    <row r="10" spans="1:38" ht="28.7" customHeight="1" thickBot="1" x14ac:dyDescent="0.3">
      <c r="A10" s="480" t="s">
        <v>225</v>
      </c>
      <c r="B10" s="1217" t="s">
        <v>221</v>
      </c>
      <c r="C10" s="1217"/>
      <c r="D10" s="1217"/>
      <c r="E10" s="1217"/>
      <c r="F10" s="80">
        <v>0</v>
      </c>
      <c r="G10" s="426" t="s">
        <v>341</v>
      </c>
      <c r="H10" s="80">
        <v>0</v>
      </c>
      <c r="I10" s="479" t="s">
        <v>341</v>
      </c>
      <c r="J10" s="1207"/>
      <c r="K10" s="1207"/>
      <c r="L10" s="1197"/>
    </row>
    <row r="11" spans="1:38" ht="28.7" customHeight="1" x14ac:dyDescent="0.25">
      <c r="A11" s="481" t="s">
        <v>226</v>
      </c>
      <c r="B11" s="1221" t="s">
        <v>401</v>
      </c>
      <c r="C11" s="1221"/>
      <c r="D11" s="1221"/>
      <c r="E11" s="1221"/>
      <c r="F11" s="398">
        <v>0</v>
      </c>
      <c r="G11" s="161">
        <f>F11/$F$7</f>
        <v>0</v>
      </c>
      <c r="H11" s="80">
        <v>2948311.84</v>
      </c>
      <c r="I11" s="163">
        <f>H11/$H$7</f>
        <v>0.63882343007551601</v>
      </c>
      <c r="J11" s="1198" t="s">
        <v>634</v>
      </c>
      <c r="K11" s="1199"/>
      <c r="L11" s="1197"/>
    </row>
    <row r="12" spans="1:38" ht="28.7" customHeight="1" x14ac:dyDescent="0.25">
      <c r="A12" s="481" t="s">
        <v>227</v>
      </c>
      <c r="B12" s="1218" t="s">
        <v>228</v>
      </c>
      <c r="C12" s="1218"/>
      <c r="D12" s="1218"/>
      <c r="E12" s="1218"/>
      <c r="F12" s="160">
        <f>'Дод_Доходи ПМГ '!D9</f>
        <v>2878960.33</v>
      </c>
      <c r="G12" s="161">
        <f>F12/$F$7</f>
        <v>1.7332304020700222</v>
      </c>
      <c r="H12" s="160">
        <f>'Дод_Доходи ПМГ '!E9</f>
        <v>2948311.8400000003</v>
      </c>
      <c r="I12" s="163">
        <f>H12/$H$7</f>
        <v>0.63882343007551601</v>
      </c>
      <c r="J12" s="1200" t="s">
        <v>635</v>
      </c>
      <c r="K12" s="1208" t="s">
        <v>636</v>
      </c>
      <c r="L12" s="1197"/>
    </row>
    <row r="13" spans="1:38" ht="28.7" customHeight="1" thickBot="1" x14ac:dyDescent="0.3">
      <c r="A13" s="834" t="s">
        <v>230</v>
      </c>
      <c r="B13" s="1219" t="s">
        <v>229</v>
      </c>
      <c r="C13" s="1219"/>
      <c r="D13" s="1219"/>
      <c r="E13" s="1219"/>
      <c r="F13" s="835">
        <v>0</v>
      </c>
      <c r="G13" s="836" t="s">
        <v>341</v>
      </c>
      <c r="H13" s="835">
        <v>0</v>
      </c>
      <c r="I13" s="837" t="s">
        <v>341</v>
      </c>
      <c r="J13" s="1200"/>
      <c r="K13" s="1208"/>
      <c r="L13" s="1197"/>
    </row>
    <row r="14" spans="1:38" ht="28.7" customHeight="1" thickBot="1" x14ac:dyDescent="0.3">
      <c r="A14" s="474" t="s">
        <v>326</v>
      </c>
      <c r="B14" s="1216" t="s">
        <v>596</v>
      </c>
      <c r="C14" s="1216"/>
      <c r="D14" s="1216"/>
      <c r="E14" s="1216"/>
      <c r="F14" s="943">
        <f>F15+F16+F17+F18</f>
        <v>1382899.29</v>
      </c>
      <c r="G14" s="485">
        <f>F14/$F$7</f>
        <v>0.83255162200482569</v>
      </c>
      <c r="H14" s="943">
        <f>H15+H16+H17+H18</f>
        <v>1339863.1600000001</v>
      </c>
      <c r="I14" s="486">
        <f>H14/$H$7</f>
        <v>0.2903139240871549</v>
      </c>
      <c r="J14" s="1201"/>
      <c r="K14" s="1208"/>
      <c r="L14" s="400"/>
    </row>
    <row r="15" spans="1:38" ht="28.7" customHeight="1" thickBot="1" x14ac:dyDescent="0.3">
      <c r="A15" s="487" t="s">
        <v>593</v>
      </c>
      <c r="B15" s="1223" t="s">
        <v>597</v>
      </c>
      <c r="C15" s="1223"/>
      <c r="D15" s="1223"/>
      <c r="E15" s="1223"/>
      <c r="F15" s="425">
        <f>1382899.29-F17</f>
        <v>1299140.6200000001</v>
      </c>
      <c r="G15" s="841">
        <f>F15/$F$7</f>
        <v>0.78212610145555495</v>
      </c>
      <c r="H15" s="425">
        <f>1259363.84+'Звіт 1,2,3'!J19+1503.6-115323.47</f>
        <v>1224539.6900000002</v>
      </c>
      <c r="I15" s="842">
        <f>H15/$H$7</f>
        <v>0.26532629093583571</v>
      </c>
      <c r="J15" s="812" t="b">
        <f>IF('Звіт   4,5,6'!E36=0,"Дані не введено",IF(F15=L35,TRUE,FALSE))</f>
        <v>1</v>
      </c>
      <c r="K15" s="322" t="b">
        <f>IF('Звіт   4,5,6'!E36=0,"Дані не введено",IF(H15=M35,TRUE,FALSE))</f>
        <v>1</v>
      </c>
      <c r="M15" s="1204"/>
    </row>
    <row r="16" spans="1:38" ht="28.7" customHeight="1" x14ac:dyDescent="0.25">
      <c r="A16" s="488" t="s">
        <v>594</v>
      </c>
      <c r="B16" s="1205" t="s">
        <v>629</v>
      </c>
      <c r="C16" s="1205"/>
      <c r="D16" s="1205"/>
      <c r="E16" s="1205"/>
      <c r="F16" s="80">
        <v>0</v>
      </c>
      <c r="G16" s="426"/>
      <c r="H16" s="80">
        <v>0</v>
      </c>
      <c r="I16" s="479"/>
      <c r="J16" s="493"/>
      <c r="K16" s="470"/>
      <c r="M16" s="1204"/>
    </row>
    <row r="17" spans="1:38" ht="44.45" customHeight="1" x14ac:dyDescent="0.25">
      <c r="A17" s="488" t="s">
        <v>595</v>
      </c>
      <c r="B17" s="1205" t="s">
        <v>630</v>
      </c>
      <c r="C17" s="1205"/>
      <c r="D17" s="1205"/>
      <c r="E17" s="1205"/>
      <c r="F17" s="80">
        <v>83758.67</v>
      </c>
      <c r="G17" s="426"/>
      <c r="H17" s="80">
        <v>115323.47</v>
      </c>
      <c r="I17" s="479"/>
      <c r="J17" s="797"/>
      <c r="K17" s="470"/>
      <c r="M17" s="1204"/>
    </row>
    <row r="18" spans="1:38" ht="28.7" customHeight="1" thickBot="1" x14ac:dyDescent="0.3">
      <c r="A18" s="489" t="s">
        <v>598</v>
      </c>
      <c r="B18" s="1206" t="s">
        <v>628</v>
      </c>
      <c r="C18" s="1206"/>
      <c r="D18" s="1206"/>
      <c r="E18" s="1206"/>
      <c r="F18" s="482">
        <v>0</v>
      </c>
      <c r="G18" s="483"/>
      <c r="H18" s="482">
        <v>0</v>
      </c>
      <c r="I18" s="484"/>
      <c r="J18" s="470"/>
      <c r="K18" s="470"/>
      <c r="M18" s="1204"/>
    </row>
    <row r="19" spans="1:38" ht="28.7" customHeight="1" x14ac:dyDescent="0.25">
      <c r="A19" s="838" t="s">
        <v>327</v>
      </c>
      <c r="B19" s="1220" t="s">
        <v>599</v>
      </c>
      <c r="C19" s="1220"/>
      <c r="D19" s="1220"/>
      <c r="E19" s="1220"/>
      <c r="F19" s="942">
        <f>F20+F21+F22</f>
        <v>278138</v>
      </c>
      <c r="G19" s="839">
        <f>F19/$F$7</f>
        <v>0.16744837799517431</v>
      </c>
      <c r="H19" s="942">
        <f>H20+H21+H22</f>
        <v>327046.83</v>
      </c>
      <c r="I19" s="840">
        <f>H19/$H$7</f>
        <v>7.0862645837329125E-2</v>
      </c>
      <c r="J19" s="471"/>
      <c r="K19" s="471"/>
      <c r="M19" s="1204"/>
    </row>
    <row r="20" spans="1:38" ht="49.35" customHeight="1" x14ac:dyDescent="0.25">
      <c r="A20" s="488" t="s">
        <v>609</v>
      </c>
      <c r="B20" s="1205" t="s">
        <v>632</v>
      </c>
      <c r="C20" s="1205"/>
      <c r="D20" s="1205"/>
      <c r="E20" s="1205"/>
      <c r="F20" s="843">
        <v>0</v>
      </c>
      <c r="G20" s="426"/>
      <c r="H20" s="843">
        <v>171593</v>
      </c>
      <c r="I20" s="479"/>
      <c r="J20" s="449"/>
      <c r="K20" s="449"/>
    </row>
    <row r="21" spans="1:38" ht="42" customHeight="1" x14ac:dyDescent="0.25">
      <c r="A21" s="488" t="s">
        <v>610</v>
      </c>
      <c r="B21" s="1205" t="s">
        <v>631</v>
      </c>
      <c r="C21" s="1205"/>
      <c r="D21" s="1205"/>
      <c r="E21" s="1205"/>
      <c r="F21" s="843">
        <v>278138</v>
      </c>
      <c r="G21" s="426"/>
      <c r="H21" s="843">
        <f>40782+40782+32334+32334</f>
        <v>146232</v>
      </c>
      <c r="I21" s="479"/>
      <c r="J21" s="449"/>
      <c r="K21" s="449"/>
    </row>
    <row r="22" spans="1:38" ht="28.7" customHeight="1" thickBot="1" x14ac:dyDescent="0.3">
      <c r="A22" s="489" t="s">
        <v>611</v>
      </c>
      <c r="B22" s="1206" t="s">
        <v>623</v>
      </c>
      <c r="C22" s="1206"/>
      <c r="D22" s="1206"/>
      <c r="E22" s="1206"/>
      <c r="F22" s="482">
        <v>0</v>
      </c>
      <c r="G22" s="483"/>
      <c r="H22" s="843">
        <v>9221.83</v>
      </c>
      <c r="I22" s="484"/>
      <c r="J22" s="449"/>
      <c r="K22" s="449"/>
    </row>
    <row r="23" spans="1:38" ht="48" customHeight="1" thickBot="1" x14ac:dyDescent="0.3">
      <c r="A23" s="1214" t="s">
        <v>682</v>
      </c>
      <c r="B23" s="1214"/>
      <c r="C23" s="1214"/>
      <c r="D23" s="399"/>
      <c r="E23" s="399"/>
      <c r="F23" s="399"/>
      <c r="G23" s="399"/>
      <c r="H23" s="399"/>
      <c r="I23" s="399"/>
      <c r="J23" s="399"/>
      <c r="K23" s="399"/>
      <c r="L23" s="2"/>
      <c r="M23" s="1202"/>
      <c r="N23" s="1202"/>
      <c r="O23" s="1202"/>
      <c r="P23" s="1202"/>
      <c r="Q23" s="1202"/>
    </row>
    <row r="24" spans="1:38" ht="48" customHeight="1" x14ac:dyDescent="0.25">
      <c r="A24" s="50" t="s">
        <v>6</v>
      </c>
      <c r="B24" s="1135" t="s">
        <v>196</v>
      </c>
      <c r="C24" s="1135"/>
      <c r="D24" s="1135"/>
      <c r="E24" s="1135"/>
      <c r="F24" s="58" t="s">
        <v>89</v>
      </c>
      <c r="G24" s="83" t="s">
        <v>342</v>
      </c>
      <c r="H24" s="58" t="s">
        <v>8</v>
      </c>
      <c r="I24" s="84" t="s">
        <v>342</v>
      </c>
      <c r="J24" s="220"/>
      <c r="K24" s="135"/>
      <c r="L24" s="148"/>
      <c r="M24" s="148"/>
      <c r="N24" s="148"/>
      <c r="O24" s="149"/>
      <c r="P24" s="133"/>
      <c r="Q24" s="150"/>
    </row>
    <row r="25" spans="1:38" ht="19.350000000000001" customHeight="1" x14ac:dyDescent="0.25">
      <c r="A25" s="437">
        <v>1</v>
      </c>
      <c r="B25" s="1222">
        <v>2</v>
      </c>
      <c r="C25" s="1222"/>
      <c r="D25" s="1222"/>
      <c r="E25" s="1222"/>
      <c r="F25" s="62">
        <v>3</v>
      </c>
      <c r="G25" s="62">
        <v>4</v>
      </c>
      <c r="H25" s="62">
        <v>5</v>
      </c>
      <c r="I25" s="63">
        <v>6</v>
      </c>
      <c r="J25" s="135"/>
      <c r="K25" s="135"/>
      <c r="L25" s="148"/>
      <c r="M25" s="148"/>
      <c r="N25" s="148"/>
      <c r="O25" s="149"/>
      <c r="P25" s="133"/>
      <c r="Q25" s="150"/>
    </row>
    <row r="26" spans="1:38" ht="28.7" customHeight="1" x14ac:dyDescent="0.3">
      <c r="A26" s="34" t="s">
        <v>311</v>
      </c>
      <c r="B26" s="1213" t="s">
        <v>241</v>
      </c>
      <c r="C26" s="1213"/>
      <c r="D26" s="1213"/>
      <c r="E26" s="1213"/>
      <c r="F26" s="165">
        <f>F27+F28+F29</f>
        <v>0</v>
      </c>
      <c r="G26" s="161" t="e">
        <f>G27+G28+G29</f>
        <v>#DIV/0!</v>
      </c>
      <c r="H26" s="165">
        <f>H27+H28+H29</f>
        <v>0</v>
      </c>
      <c r="I26" s="163" t="e">
        <f>I27+I28+I29</f>
        <v>#DIV/0!</v>
      </c>
      <c r="J26" s="135"/>
      <c r="K26" s="135"/>
      <c r="L26" s="148"/>
      <c r="M26" s="148"/>
      <c r="N26" s="148"/>
      <c r="O26" s="149"/>
      <c r="P26" s="133"/>
      <c r="Q26" s="150"/>
    </row>
    <row r="27" spans="1:38" ht="28.7" customHeight="1" x14ac:dyDescent="0.3">
      <c r="A27" s="34" t="s">
        <v>312</v>
      </c>
      <c r="B27" s="1209" t="s">
        <v>308</v>
      </c>
      <c r="C27" s="1209"/>
      <c r="D27" s="1209"/>
      <c r="E27" s="1209"/>
      <c r="F27" s="81">
        <v>0</v>
      </c>
      <c r="G27" s="161" t="e">
        <f>F27/$F$26</f>
        <v>#DIV/0!</v>
      </c>
      <c r="H27" s="81">
        <v>0</v>
      </c>
      <c r="I27" s="163" t="e">
        <f>H27/$H$26</f>
        <v>#DIV/0!</v>
      </c>
      <c r="J27" s="135"/>
      <c r="K27" s="135"/>
      <c r="L27" s="148"/>
      <c r="M27" s="148"/>
      <c r="N27" s="148"/>
      <c r="O27" s="149"/>
      <c r="P27" s="133"/>
      <c r="Q27" s="150"/>
    </row>
    <row r="28" spans="1:38" ht="28.7" customHeight="1" x14ac:dyDescent="0.3">
      <c r="A28" s="34" t="s">
        <v>313</v>
      </c>
      <c r="B28" s="1209" t="s">
        <v>309</v>
      </c>
      <c r="C28" s="1209"/>
      <c r="D28" s="1209"/>
      <c r="E28" s="1209"/>
      <c r="F28" s="81">
        <v>0</v>
      </c>
      <c r="G28" s="161" t="e">
        <f>F28/$F$26</f>
        <v>#DIV/0!</v>
      </c>
      <c r="H28" s="81">
        <v>0</v>
      </c>
      <c r="I28" s="163" t="e">
        <f>H28/$H$26</f>
        <v>#DIV/0!</v>
      </c>
      <c r="J28" s="135"/>
      <c r="K28" s="135"/>
      <c r="L28" s="148"/>
      <c r="M28" s="148"/>
      <c r="N28" s="148"/>
      <c r="O28" s="149"/>
      <c r="P28" s="133"/>
      <c r="Q28" s="150"/>
    </row>
    <row r="29" spans="1:38" ht="28.7" customHeight="1" thickBot="1" x14ac:dyDescent="0.35">
      <c r="A29" s="35" t="s">
        <v>314</v>
      </c>
      <c r="B29" s="1210" t="s">
        <v>310</v>
      </c>
      <c r="C29" s="1210"/>
      <c r="D29" s="1210"/>
      <c r="E29" s="1210"/>
      <c r="F29" s="94">
        <v>0</v>
      </c>
      <c r="G29" s="162" t="e">
        <f>F29/$F$26</f>
        <v>#DIV/0!</v>
      </c>
      <c r="H29" s="94">
        <v>0</v>
      </c>
      <c r="I29" s="164" t="e">
        <f>H29/$H$26</f>
        <v>#DIV/0!</v>
      </c>
      <c r="J29" s="135"/>
      <c r="K29" s="135"/>
      <c r="L29" s="151"/>
      <c r="M29" s="151"/>
      <c r="N29" s="151"/>
      <c r="O29" s="127"/>
      <c r="P29" s="127"/>
      <c r="Q29" s="152"/>
    </row>
    <row r="30" spans="1:38" s="10" customFormat="1" ht="33.6" customHeight="1" x14ac:dyDescent="0.3">
      <c r="A30" s="126" t="s">
        <v>683</v>
      </c>
      <c r="D30" s="57"/>
      <c r="E30" s="57"/>
      <c r="F30" s="57"/>
      <c r="G30" s="57"/>
      <c r="H30" s="57"/>
      <c r="I30" s="57"/>
      <c r="J30" s="153" t="s">
        <v>320</v>
      </c>
      <c r="K30" s="154"/>
      <c r="L30" s="155"/>
      <c r="M30" s="151"/>
      <c r="N30" s="151"/>
      <c r="O30" s="127"/>
      <c r="P30" s="127"/>
      <c r="Q30" s="152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</row>
    <row r="31" spans="1:38" s="10" customFormat="1" ht="73.349999999999994" customHeight="1" x14ac:dyDescent="0.25">
      <c r="A31" s="1211" t="s">
        <v>307</v>
      </c>
      <c r="B31" s="1211" t="s">
        <v>196</v>
      </c>
      <c r="C31" s="1211"/>
      <c r="D31" s="1212" t="s">
        <v>319</v>
      </c>
      <c r="E31" s="1212"/>
      <c r="F31" s="1225" t="s">
        <v>338</v>
      </c>
      <c r="G31" s="1225"/>
      <c r="H31" s="1225" t="s">
        <v>339</v>
      </c>
      <c r="I31" s="1225"/>
      <c r="J31" s="1225" t="s">
        <v>306</v>
      </c>
      <c r="K31" s="1225"/>
      <c r="L31" s="1224" t="s">
        <v>633</v>
      </c>
      <c r="M31" s="1224"/>
      <c r="N31" s="1225" t="s">
        <v>570</v>
      </c>
      <c r="O31" s="1225"/>
      <c r="Q31" s="401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</row>
    <row r="32" spans="1:38" s="10" customFormat="1" ht="48.6" customHeight="1" x14ac:dyDescent="0.25">
      <c r="A32" s="1211"/>
      <c r="B32" s="1211"/>
      <c r="C32" s="1211"/>
      <c r="D32" s="59" t="s">
        <v>89</v>
      </c>
      <c r="E32" s="59" t="s">
        <v>8</v>
      </c>
      <c r="F32" s="59" t="s">
        <v>89</v>
      </c>
      <c r="G32" s="59" t="s">
        <v>8</v>
      </c>
      <c r="H32" s="59" t="s">
        <v>89</v>
      </c>
      <c r="I32" s="59" t="s">
        <v>8</v>
      </c>
      <c r="J32" s="59" t="s">
        <v>89</v>
      </c>
      <c r="K32" s="59" t="s">
        <v>8</v>
      </c>
      <c r="L32" s="386" t="s">
        <v>89</v>
      </c>
      <c r="M32" s="386" t="s">
        <v>8</v>
      </c>
      <c r="N32" s="386" t="s">
        <v>89</v>
      </c>
      <c r="O32" s="386" t="s">
        <v>8</v>
      </c>
      <c r="Q32" s="402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</row>
    <row r="33" spans="1:38" s="28" customFormat="1" ht="18.600000000000001" customHeight="1" x14ac:dyDescent="0.25">
      <c r="A33" s="411" t="s">
        <v>321</v>
      </c>
      <c r="B33" s="1231">
        <v>2</v>
      </c>
      <c r="C33" s="1231"/>
      <c r="D33" s="61">
        <v>3</v>
      </c>
      <c r="E33" s="61">
        <v>4</v>
      </c>
      <c r="F33" s="61">
        <v>6</v>
      </c>
      <c r="G33" s="61">
        <v>7</v>
      </c>
      <c r="H33" s="61">
        <v>9</v>
      </c>
      <c r="I33" s="61">
        <v>10</v>
      </c>
      <c r="J33" s="61">
        <v>11</v>
      </c>
      <c r="K33" s="61">
        <v>12</v>
      </c>
      <c r="L33" s="61">
        <v>13</v>
      </c>
      <c r="M33" s="61">
        <v>14</v>
      </c>
      <c r="N33" s="61">
        <v>15</v>
      </c>
      <c r="O33" s="412">
        <v>16</v>
      </c>
      <c r="Q33" s="403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</row>
    <row r="34" spans="1:38" s="10" customFormat="1" ht="25.35" customHeight="1" x14ac:dyDescent="0.3">
      <c r="A34" s="413" t="s">
        <v>167</v>
      </c>
      <c r="B34" s="1213" t="s">
        <v>324</v>
      </c>
      <c r="C34" s="1213"/>
      <c r="D34" s="60">
        <f>D35+D87</f>
        <v>4250628.29</v>
      </c>
      <c r="E34" s="60">
        <f>E35+E87</f>
        <v>4292016.26</v>
      </c>
      <c r="F34" s="499" t="s">
        <v>341</v>
      </c>
      <c r="G34" s="499" t="s">
        <v>341</v>
      </c>
      <c r="H34" s="499" t="s">
        <v>341</v>
      </c>
      <c r="I34" s="499" t="s">
        <v>341</v>
      </c>
      <c r="J34" s="499" t="s">
        <v>341</v>
      </c>
      <c r="K34" s="499" t="s">
        <v>341</v>
      </c>
      <c r="L34" s="499" t="s">
        <v>341</v>
      </c>
      <c r="M34" s="499" t="s">
        <v>341</v>
      </c>
      <c r="N34" s="499" t="s">
        <v>341</v>
      </c>
      <c r="O34" s="499" t="s">
        <v>341</v>
      </c>
      <c r="Q34" s="404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</row>
    <row r="35" spans="1:38" s="10" customFormat="1" ht="25.35" customHeight="1" x14ac:dyDescent="0.3">
      <c r="A35" s="413" t="s">
        <v>168</v>
      </c>
      <c r="B35" s="1213" t="s">
        <v>325</v>
      </c>
      <c r="C35" s="1213"/>
      <c r="D35" s="60">
        <f>SUM(F35,J35,L35,N35)</f>
        <v>4250628.29</v>
      </c>
      <c r="E35" s="60">
        <f>SUM(G35,K35,M35,O35)</f>
        <v>4292016.26</v>
      </c>
      <c r="F35" s="60">
        <f>SUM(F36,F37,F39,F62,F38)</f>
        <v>2175140.13</v>
      </c>
      <c r="G35" s="60">
        <f>SUM(G36,G37,G39,G62,G38)</f>
        <v>2322948.34</v>
      </c>
      <c r="H35" s="60">
        <f t="shared" ref="H35:O35" si="0">SUM(H36,H37,H39,H62,H38)</f>
        <v>0</v>
      </c>
      <c r="I35" s="60">
        <f t="shared" si="0"/>
        <v>0</v>
      </c>
      <c r="J35" s="60">
        <f t="shared" si="0"/>
        <v>776347.54</v>
      </c>
      <c r="K35" s="60">
        <f t="shared" si="0"/>
        <v>744528.23</v>
      </c>
      <c r="L35" s="60">
        <f t="shared" si="0"/>
        <v>1299140.6199999999</v>
      </c>
      <c r="M35" s="60">
        <f t="shared" si="0"/>
        <v>1224539.69</v>
      </c>
      <c r="N35" s="60">
        <f t="shared" si="0"/>
        <v>0</v>
      </c>
      <c r="O35" s="60">
        <f t="shared" si="0"/>
        <v>0</v>
      </c>
      <c r="Q35" s="405"/>
      <c r="R35" s="151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</row>
    <row r="36" spans="1:38" s="10" customFormat="1" ht="25.35" customHeight="1" x14ac:dyDescent="0.3">
      <c r="A36" s="414" t="s">
        <v>169</v>
      </c>
      <c r="B36" s="1228" t="s">
        <v>159</v>
      </c>
      <c r="C36" s="1228"/>
      <c r="D36" s="60">
        <f t="shared" ref="D36:D86" si="1">SUM(F36,J36,L36,N36)</f>
        <v>2835336.25</v>
      </c>
      <c r="E36" s="60">
        <f t="shared" ref="E36:E86" si="2">SUM(G36,K36,M36,O36)</f>
        <v>3017058.18</v>
      </c>
      <c r="F36" s="81">
        <v>1696413.19</v>
      </c>
      <c r="G36" s="81">
        <v>1809093.26</v>
      </c>
      <c r="H36" s="81">
        <v>0</v>
      </c>
      <c r="I36" s="81">
        <v>0</v>
      </c>
      <c r="J36" s="81">
        <v>576819.06000000006</v>
      </c>
      <c r="K36" s="81">
        <v>583241.92000000004</v>
      </c>
      <c r="L36" s="81">
        <v>562104</v>
      </c>
      <c r="M36" s="81">
        <v>624723</v>
      </c>
      <c r="N36" s="81">
        <v>0</v>
      </c>
      <c r="O36" s="81">
        <v>0</v>
      </c>
      <c r="Q36" s="406"/>
      <c r="R36" s="151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</row>
    <row r="37" spans="1:38" s="10" customFormat="1" ht="25.35" customHeight="1" x14ac:dyDescent="0.3">
      <c r="A37" s="414" t="s">
        <v>175</v>
      </c>
      <c r="B37" s="1228" t="s">
        <v>18</v>
      </c>
      <c r="C37" s="1228"/>
      <c r="D37" s="60">
        <f t="shared" si="1"/>
        <v>623773.98</v>
      </c>
      <c r="E37" s="60">
        <f t="shared" si="2"/>
        <v>680327.83</v>
      </c>
      <c r="F37" s="81">
        <v>419759.48</v>
      </c>
      <c r="G37" s="81">
        <v>449097.12</v>
      </c>
      <c r="H37" s="81">
        <v>0</v>
      </c>
      <c r="I37" s="81">
        <v>0</v>
      </c>
      <c r="J37" s="81">
        <v>99780.5</v>
      </c>
      <c r="K37" s="81">
        <v>103590.71</v>
      </c>
      <c r="L37" s="81">
        <v>104234</v>
      </c>
      <c r="M37" s="81">
        <v>127640</v>
      </c>
      <c r="N37" s="81">
        <v>0</v>
      </c>
      <c r="O37" s="81">
        <v>0</v>
      </c>
      <c r="Q37" s="406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</row>
    <row r="38" spans="1:38" s="10" customFormat="1" ht="25.35" customHeight="1" thickBot="1" x14ac:dyDescent="0.35">
      <c r="A38" s="517" t="s">
        <v>176</v>
      </c>
      <c r="B38" s="1229" t="s">
        <v>37</v>
      </c>
      <c r="C38" s="1229"/>
      <c r="D38" s="501">
        <f t="shared" si="1"/>
        <v>0</v>
      </c>
      <c r="E38" s="60">
        <f t="shared" si="2"/>
        <v>0</v>
      </c>
      <c r="F38" s="502">
        <v>0</v>
      </c>
      <c r="G38" s="502">
        <v>0</v>
      </c>
      <c r="H38" s="518" t="s">
        <v>341</v>
      </c>
      <c r="I38" s="518" t="s">
        <v>341</v>
      </c>
      <c r="J38" s="502">
        <v>0</v>
      </c>
      <c r="K38" s="502">
        <v>0</v>
      </c>
      <c r="L38" s="502">
        <v>0</v>
      </c>
      <c r="M38" s="502">
        <v>0</v>
      </c>
      <c r="N38" s="502">
        <v>0</v>
      </c>
      <c r="O38" s="502">
        <v>0</v>
      </c>
      <c r="Q38" s="40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</row>
    <row r="39" spans="1:38" s="10" customFormat="1" ht="25.35" customHeight="1" x14ac:dyDescent="0.3">
      <c r="A39" s="503" t="s">
        <v>177</v>
      </c>
      <c r="B39" s="1230" t="s">
        <v>19</v>
      </c>
      <c r="C39" s="1230"/>
      <c r="D39" s="504">
        <f t="shared" si="1"/>
        <v>739347.41999999993</v>
      </c>
      <c r="E39" s="60">
        <f t="shared" si="2"/>
        <v>511923.80999999994</v>
      </c>
      <c r="F39" s="504">
        <f>SUM(F40,F46,F47,F48,F49,F50,F51,F52,F53,F54,F61)</f>
        <v>58967.460000000006</v>
      </c>
      <c r="G39" s="504">
        <f t="shared" ref="G39:O39" si="3">SUM(G40,G46,G47,G48,G49,G50,G51,G52,G53,G54,G61)</f>
        <v>48867.96</v>
      </c>
      <c r="H39" s="504">
        <f t="shared" si="3"/>
        <v>0</v>
      </c>
      <c r="I39" s="504">
        <f t="shared" si="3"/>
        <v>0</v>
      </c>
      <c r="J39" s="504">
        <f t="shared" si="3"/>
        <v>90194.040000000008</v>
      </c>
      <c r="K39" s="504">
        <f t="shared" si="3"/>
        <v>28177.379999999997</v>
      </c>
      <c r="L39" s="504">
        <f t="shared" si="3"/>
        <v>590185.91999999993</v>
      </c>
      <c r="M39" s="504">
        <f t="shared" si="3"/>
        <v>434878.47</v>
      </c>
      <c r="N39" s="504">
        <f t="shared" si="3"/>
        <v>0</v>
      </c>
      <c r="O39" s="505">
        <f t="shared" si="3"/>
        <v>0</v>
      </c>
      <c r="Q39" s="405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</row>
    <row r="40" spans="1:38" s="10" customFormat="1" ht="25.35" customHeight="1" x14ac:dyDescent="0.3">
      <c r="A40" s="438" t="s">
        <v>178</v>
      </c>
      <c r="B40" s="1228" t="s">
        <v>183</v>
      </c>
      <c r="C40" s="1228"/>
      <c r="D40" s="60">
        <f t="shared" si="1"/>
        <v>198286.37</v>
      </c>
      <c r="E40" s="60">
        <f t="shared" si="2"/>
        <v>141370.58000000002</v>
      </c>
      <c r="F40" s="60">
        <f>SUM(F41,F43,F44,F45,F42)</f>
        <v>0</v>
      </c>
      <c r="G40" s="60">
        <f>SUM(G41,G43,G44,G45,G42)</f>
        <v>0</v>
      </c>
      <c r="H40" s="60">
        <f>SUM(H41,H43,H44,H45,H42)</f>
        <v>0</v>
      </c>
      <c r="I40" s="60">
        <f>SUM(I41,I43,I44,I45,I42)</f>
        <v>0</v>
      </c>
      <c r="J40" s="498" t="s">
        <v>341</v>
      </c>
      <c r="K40" s="498" t="s">
        <v>341</v>
      </c>
      <c r="L40" s="60">
        <f t="shared" ref="L40" si="4">SUM(L41,L43,L44,L45,L42)</f>
        <v>198286.37</v>
      </c>
      <c r="M40" s="60">
        <f t="shared" ref="M40" si="5">SUM(M41,M43,M44,M45,M42)</f>
        <v>141370.58000000002</v>
      </c>
      <c r="N40" s="498" t="s">
        <v>341</v>
      </c>
      <c r="O40" s="519" t="s">
        <v>341</v>
      </c>
      <c r="Q40" s="405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</row>
    <row r="41" spans="1:38" s="10" customFormat="1" ht="38.450000000000003" customHeight="1" x14ac:dyDescent="0.3">
      <c r="A41" s="438" t="s">
        <v>179</v>
      </c>
      <c r="B41" s="1226" t="s">
        <v>572</v>
      </c>
      <c r="C41" s="1226"/>
      <c r="D41" s="60">
        <f t="shared" si="1"/>
        <v>198286.37</v>
      </c>
      <c r="E41" s="60">
        <f t="shared" si="2"/>
        <v>125722.58</v>
      </c>
      <c r="F41" s="81">
        <v>0</v>
      </c>
      <c r="G41" s="81">
        <v>0</v>
      </c>
      <c r="H41" s="81">
        <v>0</v>
      </c>
      <c r="I41" s="81">
        <v>0</v>
      </c>
      <c r="J41" s="498" t="s">
        <v>341</v>
      </c>
      <c r="K41" s="498" t="s">
        <v>341</v>
      </c>
      <c r="L41" s="81">
        <v>198286.37</v>
      </c>
      <c r="M41" s="81">
        <f>62191.3+63531.28</f>
        <v>125722.58</v>
      </c>
      <c r="N41" s="498" t="s">
        <v>341</v>
      </c>
      <c r="O41" s="519" t="s">
        <v>341</v>
      </c>
      <c r="Q41" s="406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</row>
    <row r="42" spans="1:38" s="10" customFormat="1" ht="26.45" customHeight="1" x14ac:dyDescent="0.3">
      <c r="A42" s="438" t="s">
        <v>180</v>
      </c>
      <c r="B42" s="1226" t="s">
        <v>407</v>
      </c>
      <c r="C42" s="1226"/>
      <c r="D42" s="60">
        <f t="shared" si="1"/>
        <v>0</v>
      </c>
      <c r="E42" s="60">
        <f t="shared" si="2"/>
        <v>0</v>
      </c>
      <c r="F42" s="81">
        <v>0</v>
      </c>
      <c r="G42" s="81">
        <v>0</v>
      </c>
      <c r="H42" s="81">
        <v>0</v>
      </c>
      <c r="I42" s="81">
        <v>0</v>
      </c>
      <c r="J42" s="498"/>
      <c r="K42" s="498"/>
      <c r="L42" s="81">
        <v>0</v>
      </c>
      <c r="M42" s="81">
        <v>0</v>
      </c>
      <c r="N42" s="498"/>
      <c r="O42" s="519"/>
      <c r="Q42" s="406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</row>
    <row r="43" spans="1:38" s="10" customFormat="1" ht="25.35" customHeight="1" x14ac:dyDescent="0.3">
      <c r="A43" s="438" t="s">
        <v>181</v>
      </c>
      <c r="B43" s="1226" t="s">
        <v>395</v>
      </c>
      <c r="C43" s="1226"/>
      <c r="D43" s="60">
        <f t="shared" si="1"/>
        <v>0</v>
      </c>
      <c r="E43" s="60">
        <f t="shared" si="2"/>
        <v>0</v>
      </c>
      <c r="F43" s="81">
        <v>0</v>
      </c>
      <c r="G43" s="81">
        <v>0</v>
      </c>
      <c r="H43" s="81">
        <v>0</v>
      </c>
      <c r="I43" s="81">
        <v>0</v>
      </c>
      <c r="J43" s="498" t="s">
        <v>341</v>
      </c>
      <c r="K43" s="498" t="s">
        <v>341</v>
      </c>
      <c r="L43" s="81">
        <v>0</v>
      </c>
      <c r="M43" s="81">
        <v>0</v>
      </c>
      <c r="N43" s="498" t="s">
        <v>341</v>
      </c>
      <c r="O43" s="519" t="s">
        <v>341</v>
      </c>
      <c r="Q43" s="406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</row>
    <row r="44" spans="1:38" s="10" customFormat="1" ht="28.35" customHeight="1" x14ac:dyDescent="0.3">
      <c r="A44" s="438" t="s">
        <v>182</v>
      </c>
      <c r="B44" s="1226" t="s">
        <v>394</v>
      </c>
      <c r="C44" s="1226"/>
      <c r="D44" s="60">
        <f t="shared" si="1"/>
        <v>0</v>
      </c>
      <c r="E44" s="60">
        <f t="shared" si="2"/>
        <v>0</v>
      </c>
      <c r="F44" s="81">
        <v>0</v>
      </c>
      <c r="G44" s="81">
        <v>0</v>
      </c>
      <c r="H44" s="81">
        <v>0</v>
      </c>
      <c r="I44" s="81">
        <v>0</v>
      </c>
      <c r="J44" s="498" t="s">
        <v>341</v>
      </c>
      <c r="K44" s="498" t="s">
        <v>341</v>
      </c>
      <c r="L44" s="81">
        <v>0</v>
      </c>
      <c r="M44" s="81">
        <v>0</v>
      </c>
      <c r="N44" s="498" t="s">
        <v>341</v>
      </c>
      <c r="O44" s="519" t="s">
        <v>341</v>
      </c>
      <c r="Q44" s="406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</row>
    <row r="45" spans="1:38" s="10" customFormat="1" ht="78.599999999999994" customHeight="1" x14ac:dyDescent="0.3">
      <c r="A45" s="438" t="s">
        <v>406</v>
      </c>
      <c r="B45" s="1226" t="s">
        <v>94</v>
      </c>
      <c r="C45" s="1226"/>
      <c r="D45" s="60">
        <f t="shared" si="1"/>
        <v>0</v>
      </c>
      <c r="E45" s="60">
        <f t="shared" si="2"/>
        <v>15648</v>
      </c>
      <c r="F45" s="81">
        <v>0</v>
      </c>
      <c r="G45" s="81">
        <v>0</v>
      </c>
      <c r="H45" s="81">
        <v>0</v>
      </c>
      <c r="I45" s="81">
        <v>0</v>
      </c>
      <c r="J45" s="498" t="s">
        <v>341</v>
      </c>
      <c r="K45" s="498" t="s">
        <v>341</v>
      </c>
      <c r="L45" s="81">
        <v>0</v>
      </c>
      <c r="M45" s="81">
        <v>15648</v>
      </c>
      <c r="N45" s="498" t="s">
        <v>341</v>
      </c>
      <c r="O45" s="519" t="s">
        <v>341</v>
      </c>
      <c r="Q45" s="406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</row>
    <row r="46" spans="1:38" s="10" customFormat="1" ht="25.35" customHeight="1" x14ac:dyDescent="0.3">
      <c r="A46" s="438" t="s">
        <v>184</v>
      </c>
      <c r="B46" s="1227" t="s">
        <v>26</v>
      </c>
      <c r="C46" s="1227"/>
      <c r="D46" s="60">
        <f t="shared" si="1"/>
        <v>0</v>
      </c>
      <c r="E46" s="60">
        <f t="shared" si="2"/>
        <v>0</v>
      </c>
      <c r="F46" s="81">
        <v>0</v>
      </c>
      <c r="G46" s="81">
        <v>0</v>
      </c>
      <c r="H46" s="81">
        <v>0</v>
      </c>
      <c r="I46" s="81">
        <v>0</v>
      </c>
      <c r="J46" s="81">
        <v>0</v>
      </c>
      <c r="K46" s="81">
        <v>0</v>
      </c>
      <c r="L46" s="81">
        <v>0</v>
      </c>
      <c r="M46" s="81">
        <v>0</v>
      </c>
      <c r="N46" s="81">
        <v>0</v>
      </c>
      <c r="O46" s="89">
        <v>0</v>
      </c>
      <c r="Q46" s="406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</row>
    <row r="47" spans="1:38" s="10" customFormat="1" ht="25.35" customHeight="1" x14ac:dyDescent="0.3">
      <c r="A47" s="438" t="s">
        <v>185</v>
      </c>
      <c r="B47" s="1209" t="s">
        <v>21</v>
      </c>
      <c r="C47" s="1209"/>
      <c r="D47" s="60">
        <f t="shared" si="1"/>
        <v>0</v>
      </c>
      <c r="E47" s="60">
        <f t="shared" si="2"/>
        <v>0</v>
      </c>
      <c r="F47" s="81">
        <v>0</v>
      </c>
      <c r="G47" s="81">
        <v>0</v>
      </c>
      <c r="H47" s="500" t="s">
        <v>341</v>
      </c>
      <c r="I47" s="500" t="s">
        <v>341</v>
      </c>
      <c r="J47" s="81">
        <v>0</v>
      </c>
      <c r="K47" s="81">
        <v>0</v>
      </c>
      <c r="L47" s="81">
        <v>0</v>
      </c>
      <c r="M47" s="81">
        <v>0</v>
      </c>
      <c r="N47" s="81">
        <v>0</v>
      </c>
      <c r="O47" s="89">
        <v>0</v>
      </c>
      <c r="Q47" s="406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</row>
    <row r="48" spans="1:38" s="10" customFormat="1" ht="25.35" customHeight="1" x14ac:dyDescent="0.3">
      <c r="A48" s="438" t="s">
        <v>186</v>
      </c>
      <c r="B48" s="1209" t="s">
        <v>22</v>
      </c>
      <c r="C48" s="1209"/>
      <c r="D48" s="60">
        <f t="shared" si="1"/>
        <v>0</v>
      </c>
      <c r="E48" s="60">
        <f t="shared" si="2"/>
        <v>0</v>
      </c>
      <c r="F48" s="81">
        <v>0</v>
      </c>
      <c r="G48" s="81">
        <v>0</v>
      </c>
      <c r="H48" s="500" t="s">
        <v>341</v>
      </c>
      <c r="I48" s="500" t="s">
        <v>341</v>
      </c>
      <c r="J48" s="81">
        <v>0</v>
      </c>
      <c r="K48" s="81">
        <v>0</v>
      </c>
      <c r="L48" s="81">
        <v>0</v>
      </c>
      <c r="M48" s="81">
        <v>0</v>
      </c>
      <c r="N48" s="81">
        <v>0</v>
      </c>
      <c r="O48" s="89">
        <v>0</v>
      </c>
      <c r="Q48" s="406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>
        <v>1</v>
      </c>
      <c r="AI48" s="127"/>
      <c r="AJ48" s="127"/>
      <c r="AK48" s="127"/>
      <c r="AL48" s="127"/>
    </row>
    <row r="49" spans="1:38" s="10" customFormat="1" ht="21.6" customHeight="1" x14ac:dyDescent="0.3">
      <c r="A49" s="438" t="s">
        <v>187</v>
      </c>
      <c r="B49" s="1209" t="s">
        <v>23</v>
      </c>
      <c r="C49" s="1209"/>
      <c r="D49" s="60">
        <f t="shared" si="1"/>
        <v>77931.590000000011</v>
      </c>
      <c r="E49" s="60">
        <f t="shared" si="2"/>
        <v>64370.43</v>
      </c>
      <c r="F49" s="81">
        <f>37593.19+7713.08+5469.53+8191.66</f>
        <v>58967.460000000006</v>
      </c>
      <c r="G49" s="81">
        <f>37617.17+3298.74+3619.15+4332.9</f>
        <v>48867.96</v>
      </c>
      <c r="H49" s="88">
        <v>0</v>
      </c>
      <c r="I49" s="88">
        <v>0</v>
      </c>
      <c r="J49" s="81">
        <f>9428.91+3829.36+2763.82+2942.04</f>
        <v>18964.13</v>
      </c>
      <c r="K49" s="81">
        <f>8635.34+338.06+3128.11+1897.36</f>
        <v>13998.87</v>
      </c>
      <c r="L49" s="81">
        <v>0</v>
      </c>
      <c r="M49" s="81">
        <f>1383.6+120</f>
        <v>1503.6</v>
      </c>
      <c r="N49" s="81">
        <v>0</v>
      </c>
      <c r="O49" s="89">
        <v>0</v>
      </c>
      <c r="Q49" s="406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</row>
    <row r="50" spans="1:38" s="10" customFormat="1" ht="36.6" customHeight="1" x14ac:dyDescent="0.3">
      <c r="A50" s="438" t="s">
        <v>188</v>
      </c>
      <c r="B50" s="1233" t="s">
        <v>222</v>
      </c>
      <c r="C50" s="1233"/>
      <c r="D50" s="60">
        <f t="shared" si="1"/>
        <v>458129.45999999996</v>
      </c>
      <c r="E50" s="60">
        <f t="shared" si="2"/>
        <v>299916.30999999994</v>
      </c>
      <c r="F50" s="81">
        <v>0</v>
      </c>
      <c r="G50" s="81">
        <v>0</v>
      </c>
      <c r="H50" s="88">
        <v>0</v>
      </c>
      <c r="I50" s="88">
        <v>0</v>
      </c>
      <c r="J50" s="81">
        <f>66229.91</f>
        <v>66229.91</v>
      </c>
      <c r="K50" s="81">
        <f>7355.59+4267.07</f>
        <v>11622.66</v>
      </c>
      <c r="L50" s="81">
        <v>391899.55</v>
      </c>
      <c r="M50" s="81">
        <f>219926.19+153982.91+1080-86695.45</f>
        <v>288293.64999999997</v>
      </c>
      <c r="N50" s="81">
        <v>0</v>
      </c>
      <c r="O50" s="89">
        <v>0</v>
      </c>
      <c r="Q50" s="406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</row>
    <row r="51" spans="1:38" s="10" customFormat="1" ht="24" customHeight="1" x14ac:dyDescent="0.3">
      <c r="A51" s="438" t="s">
        <v>189</v>
      </c>
      <c r="B51" s="1209" t="s">
        <v>24</v>
      </c>
      <c r="C51" s="1209"/>
      <c r="D51" s="60">
        <f t="shared" si="1"/>
        <v>0</v>
      </c>
      <c r="E51" s="60">
        <f>SUM(G51,K51,M51,O51)</f>
        <v>0</v>
      </c>
      <c r="F51" s="81">
        <v>0</v>
      </c>
      <c r="G51" s="81">
        <v>0</v>
      </c>
      <c r="H51" s="500" t="s">
        <v>341</v>
      </c>
      <c r="I51" s="500" t="s">
        <v>341</v>
      </c>
      <c r="J51" s="81">
        <v>0</v>
      </c>
      <c r="K51" s="81">
        <v>0</v>
      </c>
      <c r="L51" s="81">
        <v>0</v>
      </c>
      <c r="M51" s="81">
        <v>0</v>
      </c>
      <c r="N51" s="81">
        <v>0</v>
      </c>
      <c r="O51" s="89">
        <v>0</v>
      </c>
      <c r="Q51" s="406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</row>
    <row r="52" spans="1:38" s="10" customFormat="1" ht="24" customHeight="1" x14ac:dyDescent="0.3">
      <c r="A52" s="438" t="s">
        <v>190</v>
      </c>
      <c r="B52" s="1227" t="s">
        <v>25</v>
      </c>
      <c r="C52" s="1227"/>
      <c r="D52" s="60">
        <f>SUM(F52,J52,L52,N52)</f>
        <v>5000</v>
      </c>
      <c r="E52" s="60">
        <f t="shared" si="2"/>
        <v>5675.85</v>
      </c>
      <c r="F52" s="81">
        <v>0</v>
      </c>
      <c r="G52" s="81">
        <v>0</v>
      </c>
      <c r="H52" s="500" t="s">
        <v>341</v>
      </c>
      <c r="I52" s="500" t="s">
        <v>341</v>
      </c>
      <c r="J52" s="81">
        <v>5000</v>
      </c>
      <c r="K52" s="81">
        <f>2493.45+62.4</f>
        <v>2555.85</v>
      </c>
      <c r="L52" s="81">
        <v>0</v>
      </c>
      <c r="M52" s="81">
        <f>3120</f>
        <v>3120</v>
      </c>
      <c r="N52" s="81">
        <v>0</v>
      </c>
      <c r="O52" s="89">
        <v>0</v>
      </c>
      <c r="Q52" s="406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</row>
    <row r="53" spans="1:38" s="10" customFormat="1" ht="24" customHeight="1" x14ac:dyDescent="0.3">
      <c r="A53" s="438" t="s">
        <v>191</v>
      </c>
      <c r="B53" s="1227" t="s">
        <v>372</v>
      </c>
      <c r="C53" s="1227"/>
      <c r="D53" s="60">
        <f t="shared" si="1"/>
        <v>0</v>
      </c>
      <c r="E53" s="60">
        <f t="shared" si="2"/>
        <v>590.64</v>
      </c>
      <c r="F53" s="81">
        <v>0</v>
      </c>
      <c r="G53" s="81">
        <v>0</v>
      </c>
      <c r="H53" s="81">
        <v>0</v>
      </c>
      <c r="I53" s="81">
        <v>0</v>
      </c>
      <c r="J53" s="81">
        <v>0</v>
      </c>
      <c r="K53" s="81">
        <v>0</v>
      </c>
      <c r="L53" s="81">
        <v>0</v>
      </c>
      <c r="M53" s="81">
        <f>590.64</f>
        <v>590.64</v>
      </c>
      <c r="N53" s="81">
        <v>0</v>
      </c>
      <c r="O53" s="89">
        <v>0</v>
      </c>
      <c r="Q53" s="406"/>
      <c r="R53" s="127"/>
      <c r="S53" s="127"/>
      <c r="T53" s="127"/>
      <c r="U53" s="151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</row>
    <row r="54" spans="1:38" s="10" customFormat="1" ht="24" customHeight="1" x14ac:dyDescent="0.3">
      <c r="A54" s="438" t="s">
        <v>192</v>
      </c>
      <c r="B54" s="1232" t="s">
        <v>163</v>
      </c>
      <c r="C54" s="1232"/>
      <c r="D54" s="60">
        <f t="shared" si="1"/>
        <v>0</v>
      </c>
      <c r="E54" s="60">
        <f t="shared" si="2"/>
        <v>0</v>
      </c>
      <c r="F54" s="60">
        <f>SUM(F55,F56,F57,F58,F59,F60)</f>
        <v>0</v>
      </c>
      <c r="G54" s="60">
        <f>SUM(G55,G56,G57,G58,G59,G60)</f>
        <v>0</v>
      </c>
      <c r="H54" s="500" t="s">
        <v>341</v>
      </c>
      <c r="I54" s="500" t="s">
        <v>341</v>
      </c>
      <c r="J54" s="60">
        <f t="shared" ref="J54:O54" si="6">SUM(J55,J56,J57,J58,J59,J60)</f>
        <v>0</v>
      </c>
      <c r="K54" s="60">
        <f t="shared" si="6"/>
        <v>0</v>
      </c>
      <c r="L54" s="60">
        <f t="shared" si="6"/>
        <v>0</v>
      </c>
      <c r="M54" s="60">
        <f>SUM(M55,M56,M57,M58,M59,M60)</f>
        <v>0</v>
      </c>
      <c r="N54" s="60">
        <f t="shared" si="6"/>
        <v>0</v>
      </c>
      <c r="O54" s="520">
        <f t="shared" si="6"/>
        <v>0</v>
      </c>
      <c r="Q54" s="405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</row>
    <row r="55" spans="1:38" s="10" customFormat="1" ht="24" customHeight="1" x14ac:dyDescent="0.3">
      <c r="A55" s="438" t="s">
        <v>373</v>
      </c>
      <c r="B55" s="1226" t="s">
        <v>27</v>
      </c>
      <c r="C55" s="1226"/>
      <c r="D55" s="60">
        <f t="shared" si="1"/>
        <v>0</v>
      </c>
      <c r="E55" s="60">
        <f t="shared" si="2"/>
        <v>0</v>
      </c>
      <c r="F55" s="81">
        <v>0</v>
      </c>
      <c r="G55" s="81">
        <v>0</v>
      </c>
      <c r="H55" s="500" t="s">
        <v>341</v>
      </c>
      <c r="I55" s="500" t="s">
        <v>341</v>
      </c>
      <c r="J55" s="91" t="s">
        <v>341</v>
      </c>
      <c r="K55" s="91" t="s">
        <v>341</v>
      </c>
      <c r="L55" s="81">
        <v>0</v>
      </c>
      <c r="M55" s="81">
        <v>0</v>
      </c>
      <c r="N55" s="81">
        <v>0</v>
      </c>
      <c r="O55" s="89">
        <v>0</v>
      </c>
      <c r="Q55" s="406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</row>
    <row r="56" spans="1:38" s="10" customFormat="1" ht="24" customHeight="1" x14ac:dyDescent="0.3">
      <c r="A56" s="438" t="s">
        <v>374</v>
      </c>
      <c r="B56" s="1226" t="s">
        <v>28</v>
      </c>
      <c r="C56" s="1226"/>
      <c r="D56" s="60">
        <f t="shared" si="1"/>
        <v>0</v>
      </c>
      <c r="E56" s="60">
        <f t="shared" si="2"/>
        <v>0</v>
      </c>
      <c r="F56" s="81">
        <v>0</v>
      </c>
      <c r="G56" s="81">
        <v>0</v>
      </c>
      <c r="H56" s="500" t="s">
        <v>341</v>
      </c>
      <c r="I56" s="500" t="s">
        <v>341</v>
      </c>
      <c r="J56" s="81">
        <v>0</v>
      </c>
      <c r="K56" s="81">
        <v>0</v>
      </c>
      <c r="L56" s="81">
        <v>0</v>
      </c>
      <c r="M56" s="81">
        <v>0</v>
      </c>
      <c r="N56" s="81">
        <v>0</v>
      </c>
      <c r="O56" s="89">
        <v>0</v>
      </c>
      <c r="Q56" s="406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</row>
    <row r="57" spans="1:38" s="10" customFormat="1" ht="24" customHeight="1" x14ac:dyDescent="0.3">
      <c r="A57" s="438" t="s">
        <v>375</v>
      </c>
      <c r="B57" s="1226" t="s">
        <v>157</v>
      </c>
      <c r="C57" s="1226"/>
      <c r="D57" s="60">
        <f t="shared" si="1"/>
        <v>0</v>
      </c>
      <c r="E57" s="60">
        <f t="shared" si="2"/>
        <v>0</v>
      </c>
      <c r="F57" s="81">
        <v>0</v>
      </c>
      <c r="G57" s="81">
        <v>0</v>
      </c>
      <c r="H57" s="500" t="s">
        <v>341</v>
      </c>
      <c r="I57" s="500" t="s">
        <v>341</v>
      </c>
      <c r="J57" s="81">
        <v>0</v>
      </c>
      <c r="K57" s="81">
        <v>0</v>
      </c>
      <c r="L57" s="81">
        <v>0</v>
      </c>
      <c r="M57" s="81">
        <v>0</v>
      </c>
      <c r="N57" s="81">
        <v>0</v>
      </c>
      <c r="O57" s="89">
        <v>0</v>
      </c>
      <c r="Q57" s="406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</row>
    <row r="58" spans="1:38" s="10" customFormat="1" ht="24" customHeight="1" x14ac:dyDescent="0.3">
      <c r="A58" s="438" t="s">
        <v>376</v>
      </c>
      <c r="B58" s="1226" t="s">
        <v>162</v>
      </c>
      <c r="C58" s="1226"/>
      <c r="D58" s="60">
        <f t="shared" si="1"/>
        <v>0</v>
      </c>
      <c r="E58" s="60">
        <f>SUM(G58,K58,M58,O58)</f>
        <v>0</v>
      </c>
      <c r="F58" s="81">
        <v>0</v>
      </c>
      <c r="G58" s="81">
        <v>0</v>
      </c>
      <c r="H58" s="500" t="s">
        <v>341</v>
      </c>
      <c r="I58" s="500" t="s">
        <v>341</v>
      </c>
      <c r="J58" s="81">
        <v>0</v>
      </c>
      <c r="K58" s="81">
        <v>0</v>
      </c>
      <c r="L58" s="81">
        <v>0</v>
      </c>
      <c r="M58" s="81">
        <v>0</v>
      </c>
      <c r="N58" s="81">
        <v>0</v>
      </c>
      <c r="O58" s="89">
        <v>0</v>
      </c>
      <c r="Q58" s="406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</row>
    <row r="59" spans="1:38" s="10" customFormat="1" ht="24" customHeight="1" x14ac:dyDescent="0.3">
      <c r="A59" s="438" t="s">
        <v>377</v>
      </c>
      <c r="B59" s="1226" t="s">
        <v>197</v>
      </c>
      <c r="C59" s="1226"/>
      <c r="D59" s="60">
        <f t="shared" si="1"/>
        <v>0</v>
      </c>
      <c r="E59" s="60">
        <f t="shared" si="2"/>
        <v>0</v>
      </c>
      <c r="F59" s="81">
        <v>0</v>
      </c>
      <c r="G59" s="81">
        <v>0</v>
      </c>
      <c r="H59" s="500" t="s">
        <v>341</v>
      </c>
      <c r="I59" s="500" t="s">
        <v>341</v>
      </c>
      <c r="J59" s="81">
        <v>0</v>
      </c>
      <c r="K59" s="81">
        <v>0</v>
      </c>
      <c r="L59" s="81">
        <v>0</v>
      </c>
      <c r="M59" s="81">
        <v>0</v>
      </c>
      <c r="N59" s="81">
        <v>0</v>
      </c>
      <c r="O59" s="89">
        <v>0</v>
      </c>
      <c r="Q59" s="406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</row>
    <row r="60" spans="1:38" s="10" customFormat="1" ht="24" customHeight="1" x14ac:dyDescent="0.3">
      <c r="A60" s="438" t="s">
        <v>378</v>
      </c>
      <c r="B60" s="1226" t="s">
        <v>156</v>
      </c>
      <c r="C60" s="1226"/>
      <c r="D60" s="60">
        <f t="shared" si="1"/>
        <v>0</v>
      </c>
      <c r="E60" s="60">
        <f t="shared" si="2"/>
        <v>0</v>
      </c>
      <c r="F60" s="81">
        <v>0</v>
      </c>
      <c r="G60" s="81">
        <v>0</v>
      </c>
      <c r="H60" s="500" t="s">
        <v>341</v>
      </c>
      <c r="I60" s="500" t="s">
        <v>341</v>
      </c>
      <c r="J60" s="81">
        <v>0</v>
      </c>
      <c r="K60" s="81">
        <v>0</v>
      </c>
      <c r="L60" s="81">
        <v>0</v>
      </c>
      <c r="M60" s="81">
        <v>0</v>
      </c>
      <c r="N60" s="81">
        <v>0</v>
      </c>
      <c r="O60" s="89">
        <v>0</v>
      </c>
      <c r="Q60" s="406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</row>
    <row r="61" spans="1:38" s="10" customFormat="1" ht="24" customHeight="1" thickBot="1" x14ac:dyDescent="0.35">
      <c r="A61" s="439" t="s">
        <v>193</v>
      </c>
      <c r="B61" s="1210" t="s">
        <v>45</v>
      </c>
      <c r="C61" s="1210"/>
      <c r="D61" s="507">
        <f t="shared" si="1"/>
        <v>0</v>
      </c>
      <c r="E61" s="60">
        <f t="shared" si="2"/>
        <v>0</v>
      </c>
      <c r="F61" s="94">
        <v>0</v>
      </c>
      <c r="G61" s="94">
        <v>0</v>
      </c>
      <c r="H61" s="521">
        <v>0</v>
      </c>
      <c r="I61" s="521">
        <v>0</v>
      </c>
      <c r="J61" s="94">
        <v>0</v>
      </c>
      <c r="K61" s="94">
        <v>0</v>
      </c>
      <c r="L61" s="94">
        <v>0</v>
      </c>
      <c r="M61" s="94">
        <v>0</v>
      </c>
      <c r="N61" s="94">
        <v>0</v>
      </c>
      <c r="O61" s="95">
        <v>0</v>
      </c>
      <c r="Q61" s="406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</row>
    <row r="62" spans="1:38" s="10" customFormat="1" ht="24" customHeight="1" x14ac:dyDescent="0.3">
      <c r="A62" s="503" t="s">
        <v>194</v>
      </c>
      <c r="B62" s="1234" t="s">
        <v>29</v>
      </c>
      <c r="C62" s="1234"/>
      <c r="D62" s="504">
        <f>SUM(F62,J62,L62,N62)</f>
        <v>52170.64</v>
      </c>
      <c r="E62" s="60">
        <f t="shared" si="2"/>
        <v>82706.44</v>
      </c>
      <c r="F62" s="504">
        <f>SUM(F63,F64,F65,F66,F67,F73,F74,F75,F76,F77,F78,F79,F80,F81,F82)</f>
        <v>0</v>
      </c>
      <c r="G62" s="504">
        <f>SUM(G63,G64,G65,G66,G67,G73,G74,G75,G76,G77,G78,G79,G80,G81,G82)</f>
        <v>15890</v>
      </c>
      <c r="H62" s="504">
        <f t="shared" ref="H62:I62" si="7">SUM(H63,H64,H65,H66,H67,H73,H74,H75,H76,H77,H78,H79,H80,H81,H82)</f>
        <v>0</v>
      </c>
      <c r="I62" s="504">
        <f t="shared" si="7"/>
        <v>0</v>
      </c>
      <c r="J62" s="504">
        <f t="shared" ref="J62:O62" si="8">SUM(J63,J64,J65,J66,J67,J73,J74,J75,J76,J77,J78,J79,J80,J81,J82)</f>
        <v>9553.94</v>
      </c>
      <c r="K62" s="504">
        <f t="shared" si="8"/>
        <v>29518.22</v>
      </c>
      <c r="L62" s="504">
        <f t="shared" si="8"/>
        <v>42616.7</v>
      </c>
      <c r="M62" s="504">
        <f t="shared" si="8"/>
        <v>37298.22</v>
      </c>
      <c r="N62" s="504">
        <f t="shared" si="8"/>
        <v>0</v>
      </c>
      <c r="O62" s="505">
        <f t="shared" si="8"/>
        <v>0</v>
      </c>
      <c r="Q62" s="405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</row>
    <row r="63" spans="1:38" s="10" customFormat="1" ht="24" customHeight="1" x14ac:dyDescent="0.3">
      <c r="A63" s="438" t="s">
        <v>348</v>
      </c>
      <c r="B63" s="1209" t="s">
        <v>30</v>
      </c>
      <c r="C63" s="1209"/>
      <c r="D63" s="60">
        <f t="shared" si="1"/>
        <v>0</v>
      </c>
      <c r="E63" s="60">
        <f t="shared" si="2"/>
        <v>0</v>
      </c>
      <c r="F63" s="81">
        <v>0</v>
      </c>
      <c r="G63" s="81">
        <v>0</v>
      </c>
      <c r="H63" s="500" t="s">
        <v>341</v>
      </c>
      <c r="I63" s="500" t="s">
        <v>341</v>
      </c>
      <c r="J63" s="81">
        <v>0</v>
      </c>
      <c r="K63" s="81">
        <v>0</v>
      </c>
      <c r="L63" s="81">
        <v>0</v>
      </c>
      <c r="M63" s="81">
        <v>0</v>
      </c>
      <c r="N63" s="81">
        <v>0</v>
      </c>
      <c r="O63" s="89">
        <v>0</v>
      </c>
      <c r="Q63" s="406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</row>
    <row r="64" spans="1:38" s="10" customFormat="1" ht="44.25" customHeight="1" x14ac:dyDescent="0.3">
      <c r="A64" s="438" t="s">
        <v>349</v>
      </c>
      <c r="B64" s="1209" t="s">
        <v>31</v>
      </c>
      <c r="C64" s="1209"/>
      <c r="D64" s="60">
        <f t="shared" si="1"/>
        <v>0</v>
      </c>
      <c r="E64" s="60">
        <f t="shared" si="2"/>
        <v>0</v>
      </c>
      <c r="F64" s="81">
        <v>0</v>
      </c>
      <c r="G64" s="81">
        <v>0</v>
      </c>
      <c r="H64" s="500" t="s">
        <v>341</v>
      </c>
      <c r="I64" s="500" t="s">
        <v>341</v>
      </c>
      <c r="J64" s="81">
        <v>0</v>
      </c>
      <c r="K64" s="81">
        <v>0</v>
      </c>
      <c r="L64" s="81">
        <v>0</v>
      </c>
      <c r="M64" s="81">
        <v>0</v>
      </c>
      <c r="N64" s="81">
        <v>0</v>
      </c>
      <c r="O64" s="89">
        <v>0</v>
      </c>
      <c r="Q64" s="406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</row>
    <row r="65" spans="1:38" s="10" customFormat="1" ht="25.35" customHeight="1" x14ac:dyDescent="0.3">
      <c r="A65" s="438" t="s">
        <v>350</v>
      </c>
      <c r="B65" s="1209" t="s">
        <v>300</v>
      </c>
      <c r="C65" s="1209"/>
      <c r="D65" s="60">
        <f t="shared" si="1"/>
        <v>5284.2</v>
      </c>
      <c r="E65" s="60">
        <f t="shared" si="2"/>
        <v>21501</v>
      </c>
      <c r="F65" s="81">
        <v>0</v>
      </c>
      <c r="G65" s="81">
        <f>510+3000</f>
        <v>3510</v>
      </c>
      <c r="H65" s="500" t="s">
        <v>341</v>
      </c>
      <c r="I65" s="500" t="s">
        <v>341</v>
      </c>
      <c r="J65" s="81">
        <f>964.2</f>
        <v>964.2</v>
      </c>
      <c r="K65" s="81">
        <f>9100+160+331+8400</f>
        <v>17991</v>
      </c>
      <c r="L65" s="81">
        <v>4320</v>
      </c>
      <c r="M65" s="81">
        <v>0</v>
      </c>
      <c r="N65" s="81">
        <v>0</v>
      </c>
      <c r="O65" s="89">
        <v>0</v>
      </c>
      <c r="Q65" s="406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</row>
    <row r="66" spans="1:38" s="10" customFormat="1" ht="24" customHeight="1" x14ac:dyDescent="0.3">
      <c r="A66" s="438" t="s">
        <v>351</v>
      </c>
      <c r="B66" s="1209" t="s">
        <v>32</v>
      </c>
      <c r="C66" s="1209"/>
      <c r="D66" s="60">
        <f t="shared" si="1"/>
        <v>0</v>
      </c>
      <c r="E66" s="60">
        <f t="shared" si="2"/>
        <v>12380</v>
      </c>
      <c r="F66" s="81">
        <v>0</v>
      </c>
      <c r="G66" s="81">
        <v>12380</v>
      </c>
      <c r="H66" s="88">
        <v>0</v>
      </c>
      <c r="I66" s="81">
        <v>0</v>
      </c>
      <c r="J66" s="81">
        <v>0</v>
      </c>
      <c r="K66" s="81">
        <v>0</v>
      </c>
      <c r="L66" s="81">
        <v>0</v>
      </c>
      <c r="M66" s="81">
        <v>0</v>
      </c>
      <c r="N66" s="81">
        <v>0</v>
      </c>
      <c r="O66" s="89">
        <v>0</v>
      </c>
      <c r="Q66" s="408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</row>
    <row r="67" spans="1:38" s="10" customFormat="1" ht="23.45" customHeight="1" x14ac:dyDescent="0.3">
      <c r="A67" s="438" t="s">
        <v>352</v>
      </c>
      <c r="B67" s="1228" t="s">
        <v>165</v>
      </c>
      <c r="C67" s="1228"/>
      <c r="D67" s="60">
        <f t="shared" si="1"/>
        <v>3222.02</v>
      </c>
      <c r="E67" s="60">
        <f t="shared" si="2"/>
        <v>4821.2</v>
      </c>
      <c r="F67" s="109">
        <f>SUM(F68,F69,F70,F71,F72)</f>
        <v>0</v>
      </c>
      <c r="G67" s="109">
        <f t="shared" ref="G67:O67" si="9">SUM(G68,G69,G70,G71,G72)</f>
        <v>0</v>
      </c>
      <c r="H67" s="109">
        <f>SUM(H68,H69,H70,H71,H72)</f>
        <v>0</v>
      </c>
      <c r="I67" s="109">
        <f t="shared" si="9"/>
        <v>0</v>
      </c>
      <c r="J67" s="109">
        <f t="shared" si="9"/>
        <v>3222.02</v>
      </c>
      <c r="K67" s="109">
        <f t="shared" si="9"/>
        <v>4821.2</v>
      </c>
      <c r="L67" s="109">
        <f t="shared" si="9"/>
        <v>0</v>
      </c>
      <c r="M67" s="109">
        <f>SUM(M68,M69,M70,M71,M72)</f>
        <v>0</v>
      </c>
      <c r="N67" s="109">
        <f t="shared" si="9"/>
        <v>0</v>
      </c>
      <c r="O67" s="506">
        <f t="shared" si="9"/>
        <v>0</v>
      </c>
      <c r="Q67" s="409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</row>
    <row r="68" spans="1:38" s="10" customFormat="1" ht="23.1" customHeight="1" x14ac:dyDescent="0.3">
      <c r="A68" s="438" t="s">
        <v>353</v>
      </c>
      <c r="B68" s="1226" t="s">
        <v>158</v>
      </c>
      <c r="C68" s="1226"/>
      <c r="D68" s="60">
        <f t="shared" si="1"/>
        <v>0</v>
      </c>
      <c r="E68" s="60">
        <f t="shared" si="2"/>
        <v>0</v>
      </c>
      <c r="F68" s="81">
        <v>0</v>
      </c>
      <c r="G68" s="81">
        <v>0</v>
      </c>
      <c r="H68" s="500" t="s">
        <v>341</v>
      </c>
      <c r="I68" s="500" t="s">
        <v>341</v>
      </c>
      <c r="J68" s="90" t="s">
        <v>341</v>
      </c>
      <c r="K68" s="90" t="s">
        <v>341</v>
      </c>
      <c r="L68" s="81">
        <v>0</v>
      </c>
      <c r="M68" s="81">
        <v>0</v>
      </c>
      <c r="N68" s="81">
        <v>0</v>
      </c>
      <c r="O68" s="89">
        <v>0</v>
      </c>
      <c r="Q68" s="406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</row>
    <row r="69" spans="1:38" s="10" customFormat="1" ht="23.1" customHeight="1" x14ac:dyDescent="0.3">
      <c r="A69" s="438" t="s">
        <v>354</v>
      </c>
      <c r="B69" s="1226" t="s">
        <v>161</v>
      </c>
      <c r="C69" s="1226"/>
      <c r="D69" s="60">
        <f t="shared" si="1"/>
        <v>0</v>
      </c>
      <c r="E69" s="60">
        <f t="shared" si="2"/>
        <v>0</v>
      </c>
      <c r="F69" s="81">
        <v>0</v>
      </c>
      <c r="G69" s="81">
        <v>0</v>
      </c>
      <c r="H69" s="500" t="s">
        <v>341</v>
      </c>
      <c r="I69" s="500" t="s">
        <v>341</v>
      </c>
      <c r="J69" s="81">
        <v>0</v>
      </c>
      <c r="K69" s="81">
        <v>0</v>
      </c>
      <c r="L69" s="81">
        <v>0</v>
      </c>
      <c r="M69" s="81">
        <v>0</v>
      </c>
      <c r="N69" s="81">
        <v>0</v>
      </c>
      <c r="O69" s="89">
        <v>0</v>
      </c>
      <c r="Q69" s="406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</row>
    <row r="70" spans="1:38" s="10" customFormat="1" ht="23.1" customHeight="1" x14ac:dyDescent="0.3">
      <c r="A70" s="438" t="s">
        <v>355</v>
      </c>
      <c r="B70" s="1226" t="s">
        <v>236</v>
      </c>
      <c r="C70" s="1226"/>
      <c r="D70" s="60">
        <f t="shared" si="1"/>
        <v>3222.02</v>
      </c>
      <c r="E70" s="60">
        <f t="shared" si="2"/>
        <v>4821.2</v>
      </c>
      <c r="F70" s="81">
        <v>0</v>
      </c>
      <c r="G70" s="81">
        <v>0</v>
      </c>
      <c r="H70" s="500" t="s">
        <v>341</v>
      </c>
      <c r="I70" s="500" t="s">
        <v>341</v>
      </c>
      <c r="J70" s="81">
        <f>3222.02</f>
        <v>3222.02</v>
      </c>
      <c r="K70" s="81">
        <v>4821.2</v>
      </c>
      <c r="L70" s="81">
        <v>0</v>
      </c>
      <c r="M70" s="81">
        <v>0</v>
      </c>
      <c r="N70" s="81">
        <v>0</v>
      </c>
      <c r="O70" s="89">
        <v>0</v>
      </c>
      <c r="Q70" s="406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</row>
    <row r="71" spans="1:38" s="10" customFormat="1" ht="23.1" customHeight="1" x14ac:dyDescent="0.3">
      <c r="A71" s="438" t="s">
        <v>356</v>
      </c>
      <c r="B71" s="1235" t="s">
        <v>239</v>
      </c>
      <c r="C71" s="1235"/>
      <c r="D71" s="60">
        <f t="shared" si="1"/>
        <v>0</v>
      </c>
      <c r="E71" s="60">
        <f t="shared" si="2"/>
        <v>0</v>
      </c>
      <c r="F71" s="81">
        <v>0</v>
      </c>
      <c r="G71" s="81">
        <v>0</v>
      </c>
      <c r="H71" s="500" t="s">
        <v>341</v>
      </c>
      <c r="I71" s="500" t="s">
        <v>341</v>
      </c>
      <c r="J71" s="81">
        <v>0</v>
      </c>
      <c r="K71" s="81">
        <v>0</v>
      </c>
      <c r="L71" s="81">
        <v>0</v>
      </c>
      <c r="M71" s="81">
        <v>0</v>
      </c>
      <c r="N71" s="81">
        <v>0</v>
      </c>
      <c r="O71" s="89">
        <v>0</v>
      </c>
      <c r="Q71" s="406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</row>
    <row r="72" spans="1:38" s="10" customFormat="1" ht="23.1" customHeight="1" x14ac:dyDescent="0.3">
      <c r="A72" s="438" t="s">
        <v>357</v>
      </c>
      <c r="B72" s="1235" t="s">
        <v>160</v>
      </c>
      <c r="C72" s="1235"/>
      <c r="D72" s="60">
        <f>SUM(F72,J72,L72,N72)</f>
        <v>0</v>
      </c>
      <c r="E72" s="60">
        <f t="shared" si="2"/>
        <v>0</v>
      </c>
      <c r="F72" s="81">
        <v>0</v>
      </c>
      <c r="G72" s="81">
        <v>0</v>
      </c>
      <c r="H72" s="500" t="s">
        <v>341</v>
      </c>
      <c r="I72" s="500" t="s">
        <v>341</v>
      </c>
      <c r="J72" s="81">
        <v>0</v>
      </c>
      <c r="K72" s="81">
        <v>0</v>
      </c>
      <c r="L72" s="81">
        <v>0</v>
      </c>
      <c r="M72" s="81">
        <v>0</v>
      </c>
      <c r="N72" s="81">
        <v>0</v>
      </c>
      <c r="O72" s="89">
        <v>0</v>
      </c>
      <c r="Q72" s="406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</row>
    <row r="73" spans="1:38" s="10" customFormat="1" ht="23.1" customHeight="1" x14ac:dyDescent="0.3">
      <c r="A73" s="438" t="s">
        <v>358</v>
      </c>
      <c r="B73" s="1236" t="s">
        <v>33</v>
      </c>
      <c r="C73" s="1236"/>
      <c r="D73" s="60">
        <f t="shared" si="1"/>
        <v>22669.95</v>
      </c>
      <c r="E73" s="60">
        <f t="shared" si="2"/>
        <v>18971.77</v>
      </c>
      <c r="F73" s="81">
        <v>0</v>
      </c>
      <c r="G73" s="81">
        <v>0</v>
      </c>
      <c r="H73" s="500" t="s">
        <v>341</v>
      </c>
      <c r="I73" s="500" t="s">
        <v>341</v>
      </c>
      <c r="J73" s="81">
        <v>0</v>
      </c>
      <c r="K73" s="81">
        <v>0</v>
      </c>
      <c r="L73" s="81">
        <v>22669.95</v>
      </c>
      <c r="M73" s="81">
        <v>18971.77</v>
      </c>
      <c r="N73" s="81">
        <v>0</v>
      </c>
      <c r="O73" s="89">
        <v>0</v>
      </c>
      <c r="Q73" s="406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</row>
    <row r="74" spans="1:38" s="10" customFormat="1" ht="23.1" customHeight="1" x14ac:dyDescent="0.3">
      <c r="A74" s="438" t="s">
        <v>359</v>
      </c>
      <c r="B74" s="1236" t="s">
        <v>155</v>
      </c>
      <c r="C74" s="1236"/>
      <c r="D74" s="60">
        <f t="shared" si="1"/>
        <v>0</v>
      </c>
      <c r="E74" s="60">
        <f t="shared" si="2"/>
        <v>0</v>
      </c>
      <c r="F74" s="81">
        <v>0</v>
      </c>
      <c r="G74" s="81">
        <v>0</v>
      </c>
      <c r="H74" s="500" t="s">
        <v>341</v>
      </c>
      <c r="I74" s="500" t="s">
        <v>341</v>
      </c>
      <c r="J74" s="81">
        <v>0</v>
      </c>
      <c r="K74" s="81">
        <v>0</v>
      </c>
      <c r="L74" s="81">
        <v>0</v>
      </c>
      <c r="M74" s="81">
        <v>0</v>
      </c>
      <c r="N74" s="81">
        <v>0</v>
      </c>
      <c r="O74" s="89">
        <v>0</v>
      </c>
      <c r="Q74" s="406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</row>
    <row r="75" spans="1:38" s="10" customFormat="1" ht="23.1" customHeight="1" x14ac:dyDescent="0.3">
      <c r="A75" s="438" t="s">
        <v>360</v>
      </c>
      <c r="B75" s="1239" t="s">
        <v>56</v>
      </c>
      <c r="C75" s="1239"/>
      <c r="D75" s="60">
        <f t="shared" si="1"/>
        <v>3105.42</v>
      </c>
      <c r="E75" s="60">
        <f t="shared" si="2"/>
        <v>3380.22</v>
      </c>
      <c r="F75" s="81">
        <v>0</v>
      </c>
      <c r="G75" s="81">
        <v>0</v>
      </c>
      <c r="H75" s="500" t="s">
        <v>341</v>
      </c>
      <c r="I75" s="500" t="s">
        <v>341</v>
      </c>
      <c r="J75" s="81">
        <v>3105.42</v>
      </c>
      <c r="K75" s="81">
        <v>3380.22</v>
      </c>
      <c r="L75" s="81">
        <v>0</v>
      </c>
      <c r="M75" s="81">
        <v>0</v>
      </c>
      <c r="N75" s="81">
        <v>0</v>
      </c>
      <c r="O75" s="89">
        <v>0</v>
      </c>
      <c r="Q75" s="406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</row>
    <row r="76" spans="1:38" s="10" customFormat="1" ht="23.1" customHeight="1" x14ac:dyDescent="0.3">
      <c r="A76" s="438" t="s">
        <v>361</v>
      </c>
      <c r="B76" s="1239" t="s">
        <v>44</v>
      </c>
      <c r="C76" s="1239"/>
      <c r="D76" s="60">
        <f t="shared" si="1"/>
        <v>0</v>
      </c>
      <c r="E76" s="60">
        <f t="shared" si="2"/>
        <v>0</v>
      </c>
      <c r="F76" s="81">
        <v>0</v>
      </c>
      <c r="G76" s="81">
        <v>0</v>
      </c>
      <c r="H76" s="500" t="s">
        <v>341</v>
      </c>
      <c r="I76" s="500" t="s">
        <v>341</v>
      </c>
      <c r="J76" s="81">
        <v>0</v>
      </c>
      <c r="K76" s="81">
        <v>0</v>
      </c>
      <c r="L76" s="81">
        <v>0</v>
      </c>
      <c r="M76" s="81">
        <v>0</v>
      </c>
      <c r="N76" s="81">
        <v>0</v>
      </c>
      <c r="O76" s="89">
        <v>0</v>
      </c>
      <c r="Q76" s="406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</row>
    <row r="77" spans="1:38" s="10" customFormat="1" ht="23.1" customHeight="1" x14ac:dyDescent="0.3">
      <c r="A77" s="438" t="s">
        <v>362</v>
      </c>
      <c r="B77" s="1239" t="s">
        <v>154</v>
      </c>
      <c r="C77" s="1239"/>
      <c r="D77" s="60">
        <f t="shared" si="1"/>
        <v>0</v>
      </c>
      <c r="E77" s="60">
        <f t="shared" si="2"/>
        <v>0</v>
      </c>
      <c r="F77" s="81">
        <v>0</v>
      </c>
      <c r="G77" s="81">
        <v>0</v>
      </c>
      <c r="H77" s="500" t="s">
        <v>341</v>
      </c>
      <c r="I77" s="500" t="s">
        <v>341</v>
      </c>
      <c r="J77" s="81">
        <v>0</v>
      </c>
      <c r="K77" s="81">
        <v>0</v>
      </c>
      <c r="L77" s="81">
        <v>0</v>
      </c>
      <c r="M77" s="81">
        <v>0</v>
      </c>
      <c r="N77" s="81">
        <v>0</v>
      </c>
      <c r="O77" s="89">
        <v>0</v>
      </c>
      <c r="Q77" s="406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27"/>
      <c r="AK77" s="127"/>
      <c r="AL77" s="127"/>
    </row>
    <row r="78" spans="1:38" s="10" customFormat="1" ht="23.1" customHeight="1" x14ac:dyDescent="0.3">
      <c r="A78" s="438" t="s">
        <v>363</v>
      </c>
      <c r="B78" s="1239" t="s">
        <v>164</v>
      </c>
      <c r="C78" s="1239"/>
      <c r="D78" s="60">
        <f t="shared" si="1"/>
        <v>10.199999999999999</v>
      </c>
      <c r="E78" s="60">
        <f t="shared" si="2"/>
        <v>0</v>
      </c>
      <c r="F78" s="81">
        <v>0</v>
      </c>
      <c r="G78" s="81">
        <v>0</v>
      </c>
      <c r="H78" s="500" t="s">
        <v>341</v>
      </c>
      <c r="I78" s="500" t="s">
        <v>341</v>
      </c>
      <c r="J78" s="81">
        <v>10.199999999999999</v>
      </c>
      <c r="K78" s="81">
        <v>0</v>
      </c>
      <c r="L78" s="81">
        <v>0</v>
      </c>
      <c r="M78" s="81">
        <v>0</v>
      </c>
      <c r="N78" s="81">
        <v>0</v>
      </c>
      <c r="O78" s="89">
        <v>0</v>
      </c>
      <c r="Q78" s="406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</row>
    <row r="79" spans="1:38" s="10" customFormat="1" ht="23.1" customHeight="1" x14ac:dyDescent="0.3">
      <c r="A79" s="438" t="s">
        <v>364</v>
      </c>
      <c r="B79" s="1236" t="s">
        <v>34</v>
      </c>
      <c r="C79" s="1236"/>
      <c r="D79" s="60">
        <f t="shared" si="1"/>
        <v>1694.1</v>
      </c>
      <c r="E79" s="60">
        <f>SUM(G79,K79,M79,O79)</f>
        <v>2436.59</v>
      </c>
      <c r="F79" s="81">
        <v>0</v>
      </c>
      <c r="G79" s="81">
        <v>0</v>
      </c>
      <c r="H79" s="93">
        <v>0</v>
      </c>
      <c r="I79" s="93">
        <v>0</v>
      </c>
      <c r="J79" s="81">
        <f>1694.1</f>
        <v>1694.1</v>
      </c>
      <c r="K79" s="81">
        <f>2436.59</f>
        <v>2436.59</v>
      </c>
      <c r="L79" s="81">
        <v>0</v>
      </c>
      <c r="M79" s="81">
        <v>0</v>
      </c>
      <c r="N79" s="81">
        <v>0</v>
      </c>
      <c r="O79" s="89">
        <v>0</v>
      </c>
      <c r="Q79" s="406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</row>
    <row r="80" spans="1:38" s="10" customFormat="1" ht="23.1" customHeight="1" x14ac:dyDescent="0.3">
      <c r="A80" s="438" t="s">
        <v>365</v>
      </c>
      <c r="B80" s="1237" t="s">
        <v>46</v>
      </c>
      <c r="C80" s="1237"/>
      <c r="D80" s="60">
        <f t="shared" si="1"/>
        <v>0</v>
      </c>
      <c r="E80" s="60">
        <f t="shared" si="2"/>
        <v>264.20999999999998</v>
      </c>
      <c r="F80" s="500" t="s">
        <v>341</v>
      </c>
      <c r="G80" s="500" t="s">
        <v>341</v>
      </c>
      <c r="H80" s="500" t="s">
        <v>341</v>
      </c>
      <c r="I80" s="500" t="s">
        <v>341</v>
      </c>
      <c r="J80" s="81">
        <v>0</v>
      </c>
      <c r="K80" s="81">
        <f>92.48+171.73</f>
        <v>264.20999999999998</v>
      </c>
      <c r="L80" s="81">
        <v>0</v>
      </c>
      <c r="M80" s="81">
        <v>0</v>
      </c>
      <c r="N80" s="81">
        <v>0</v>
      </c>
      <c r="O80" s="89">
        <v>0</v>
      </c>
      <c r="Q80" s="406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</row>
    <row r="81" spans="1:38" s="10" customFormat="1" ht="23.1" customHeight="1" x14ac:dyDescent="0.3">
      <c r="A81" s="438" t="s">
        <v>366</v>
      </c>
      <c r="B81" s="1237" t="s">
        <v>47</v>
      </c>
      <c r="C81" s="1237"/>
      <c r="D81" s="60">
        <f t="shared" si="1"/>
        <v>558</v>
      </c>
      <c r="E81" s="60">
        <f t="shared" si="2"/>
        <v>625</v>
      </c>
      <c r="F81" s="500" t="s">
        <v>341</v>
      </c>
      <c r="G81" s="500" t="s">
        <v>341</v>
      </c>
      <c r="H81" s="500" t="s">
        <v>341</v>
      </c>
      <c r="I81" s="500" t="s">
        <v>341</v>
      </c>
      <c r="J81" s="81">
        <v>558</v>
      </c>
      <c r="K81" s="81">
        <v>625</v>
      </c>
      <c r="L81" s="81">
        <v>0</v>
      </c>
      <c r="M81" s="81">
        <v>0</v>
      </c>
      <c r="N81" s="81">
        <v>0</v>
      </c>
      <c r="O81" s="89">
        <v>0</v>
      </c>
      <c r="Q81" s="406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</row>
    <row r="82" spans="1:38" s="36" customFormat="1" ht="23.1" customHeight="1" thickBot="1" x14ac:dyDescent="0.35">
      <c r="A82" s="687" t="s">
        <v>367</v>
      </c>
      <c r="B82" s="1238" t="s">
        <v>48</v>
      </c>
      <c r="C82" s="1238"/>
      <c r="D82" s="501">
        <f t="shared" si="1"/>
        <v>15626.75</v>
      </c>
      <c r="E82" s="501">
        <f t="shared" si="2"/>
        <v>18326.45</v>
      </c>
      <c r="F82" s="688">
        <v>0</v>
      </c>
      <c r="G82" s="688">
        <v>0</v>
      </c>
      <c r="H82" s="502">
        <v>0</v>
      </c>
      <c r="I82" s="688">
        <v>0</v>
      </c>
      <c r="J82" s="502">
        <v>0</v>
      </c>
      <c r="K82" s="502">
        <v>0</v>
      </c>
      <c r="L82" s="502">
        <v>15626.75</v>
      </c>
      <c r="M82" s="502">
        <v>18326.45</v>
      </c>
      <c r="N82" s="502">
        <v>0</v>
      </c>
      <c r="O82" s="689">
        <v>0</v>
      </c>
      <c r="Q82" s="406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</row>
    <row r="83" spans="1:38" s="10" customFormat="1" ht="23.1" customHeight="1" x14ac:dyDescent="0.3">
      <c r="A83" s="509" t="s">
        <v>368</v>
      </c>
      <c r="B83" s="1242" t="s">
        <v>38</v>
      </c>
      <c r="C83" s="1242"/>
      <c r="D83" s="504">
        <f t="shared" si="1"/>
        <v>278138</v>
      </c>
      <c r="E83" s="504">
        <f t="shared" si="2"/>
        <v>317825</v>
      </c>
      <c r="F83" s="504">
        <f>SUM(F84:F86)</f>
        <v>217500</v>
      </c>
      <c r="G83" s="504">
        <f t="shared" ref="G83:O83" si="10">SUM(G84:G86)</f>
        <v>237104</v>
      </c>
      <c r="H83" s="504">
        <f t="shared" si="10"/>
        <v>0</v>
      </c>
      <c r="I83" s="504">
        <f t="shared" si="10"/>
        <v>0</v>
      </c>
      <c r="J83" s="504">
        <f t="shared" si="10"/>
        <v>60638</v>
      </c>
      <c r="K83" s="504">
        <f t="shared" si="10"/>
        <v>80721</v>
      </c>
      <c r="L83" s="504">
        <f t="shared" si="10"/>
        <v>0</v>
      </c>
      <c r="M83" s="504">
        <f t="shared" si="10"/>
        <v>0</v>
      </c>
      <c r="N83" s="504">
        <f t="shared" si="10"/>
        <v>0</v>
      </c>
      <c r="O83" s="505">
        <f t="shared" si="10"/>
        <v>0</v>
      </c>
      <c r="Q83" s="410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  <c r="AH83" s="127"/>
      <c r="AI83" s="127"/>
      <c r="AJ83" s="127"/>
      <c r="AK83" s="127"/>
      <c r="AL83" s="127"/>
    </row>
    <row r="84" spans="1:38" s="10" customFormat="1" ht="23.1" customHeight="1" x14ac:dyDescent="0.3">
      <c r="A84" s="510" t="s">
        <v>369</v>
      </c>
      <c r="B84" s="1227" t="s">
        <v>204</v>
      </c>
      <c r="C84" s="1227"/>
      <c r="D84" s="60">
        <f t="shared" si="1"/>
        <v>278138</v>
      </c>
      <c r="E84" s="60">
        <f t="shared" si="2"/>
        <v>317825</v>
      </c>
      <c r="F84" s="81">
        <v>217500</v>
      </c>
      <c r="G84" s="81">
        <v>237104</v>
      </c>
      <c r="H84" s="93">
        <v>0</v>
      </c>
      <c r="I84" s="93">
        <v>0</v>
      </c>
      <c r="J84" s="93">
        <v>60638</v>
      </c>
      <c r="K84" s="93">
        <f>8020+8033+32334+32334</f>
        <v>80721</v>
      </c>
      <c r="L84" s="81">
        <v>0</v>
      </c>
      <c r="M84" s="81">
        <v>0</v>
      </c>
      <c r="N84" s="81">
        <v>0</v>
      </c>
      <c r="O84" s="89">
        <v>0</v>
      </c>
      <c r="Q84" s="40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</row>
    <row r="85" spans="1:38" s="10" customFormat="1" ht="37.35" customHeight="1" x14ac:dyDescent="0.3">
      <c r="A85" s="510" t="s">
        <v>370</v>
      </c>
      <c r="B85" s="1227" t="s">
        <v>205</v>
      </c>
      <c r="C85" s="1227"/>
      <c r="D85" s="60">
        <f>SUM(F85,J85,L85,N85)</f>
        <v>0</v>
      </c>
      <c r="E85" s="60">
        <f>SUM(G85,K85,M85,O85)</f>
        <v>0</v>
      </c>
      <c r="F85" s="81">
        <v>0</v>
      </c>
      <c r="G85" s="81">
        <v>0</v>
      </c>
      <c r="H85" s="93">
        <v>0</v>
      </c>
      <c r="I85" s="93">
        <v>0</v>
      </c>
      <c r="J85" s="93">
        <v>0</v>
      </c>
      <c r="K85" s="93">
        <v>0</v>
      </c>
      <c r="L85" s="81">
        <v>0</v>
      </c>
      <c r="M85" s="81">
        <v>0</v>
      </c>
      <c r="N85" s="81">
        <v>0</v>
      </c>
      <c r="O85" s="89">
        <v>0</v>
      </c>
      <c r="Q85" s="40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</row>
    <row r="86" spans="1:38" s="10" customFormat="1" ht="23.1" customHeight="1" thickBot="1" x14ac:dyDescent="0.35">
      <c r="A86" s="511" t="s">
        <v>371</v>
      </c>
      <c r="B86" s="1246" t="s">
        <v>206</v>
      </c>
      <c r="C86" s="1246"/>
      <c r="D86" s="507">
        <f t="shared" si="1"/>
        <v>0</v>
      </c>
      <c r="E86" s="507">
        <f t="shared" si="2"/>
        <v>0</v>
      </c>
      <c r="F86" s="94">
        <v>0</v>
      </c>
      <c r="G86" s="94">
        <v>0</v>
      </c>
      <c r="H86" s="512" t="s">
        <v>341</v>
      </c>
      <c r="I86" s="512" t="s">
        <v>341</v>
      </c>
      <c r="J86" s="508">
        <v>0</v>
      </c>
      <c r="K86" s="508">
        <v>0</v>
      </c>
      <c r="L86" s="94">
        <v>0</v>
      </c>
      <c r="M86" s="94">
        <v>0</v>
      </c>
      <c r="N86" s="94">
        <v>0</v>
      </c>
      <c r="O86" s="95">
        <v>0</v>
      </c>
      <c r="Q86" s="40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</row>
    <row r="87" spans="1:38" s="10" customFormat="1" ht="23.1" customHeight="1" thickBot="1" x14ac:dyDescent="0.35">
      <c r="A87" s="513" t="s">
        <v>195</v>
      </c>
      <c r="B87" s="1247" t="s">
        <v>57</v>
      </c>
      <c r="C87" s="1247"/>
      <c r="D87" s="514">
        <v>0</v>
      </c>
      <c r="E87" s="514">
        <v>0</v>
      </c>
      <c r="F87" s="515" t="s">
        <v>341</v>
      </c>
      <c r="G87" s="515" t="s">
        <v>341</v>
      </c>
      <c r="H87" s="515" t="s">
        <v>341</v>
      </c>
      <c r="I87" s="515" t="s">
        <v>341</v>
      </c>
      <c r="J87" s="515" t="s">
        <v>341</v>
      </c>
      <c r="K87" s="515" t="s">
        <v>341</v>
      </c>
      <c r="L87" s="515" t="s">
        <v>341</v>
      </c>
      <c r="M87" s="515" t="s">
        <v>341</v>
      </c>
      <c r="N87" s="515" t="s">
        <v>341</v>
      </c>
      <c r="O87" s="516" t="s">
        <v>341</v>
      </c>
      <c r="Q87" s="40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</row>
    <row r="88" spans="1:38" ht="24.6" customHeight="1" thickBot="1" x14ac:dyDescent="0.3">
      <c r="A88" s="1248" t="s">
        <v>684</v>
      </c>
      <c r="B88" s="1248"/>
      <c r="C88" s="1248"/>
      <c r="D88" s="1248"/>
      <c r="E88" s="29"/>
      <c r="F88" s="29"/>
      <c r="G88" s="29"/>
      <c r="H88" s="29"/>
      <c r="K88" s="135"/>
      <c r="L88" s="135"/>
      <c r="M88" s="168"/>
      <c r="N88" s="168"/>
      <c r="O88" s="133"/>
      <c r="P88" s="130"/>
      <c r="Q88" s="131"/>
    </row>
    <row r="89" spans="1:38" ht="43.35" customHeight="1" x14ac:dyDescent="0.25">
      <c r="A89" s="384" t="s">
        <v>40</v>
      </c>
      <c r="B89" s="1249" t="s">
        <v>318</v>
      </c>
      <c r="C89" s="1249"/>
      <c r="D89" s="1249"/>
      <c r="E89" s="381" t="s">
        <v>89</v>
      </c>
      <c r="F89" s="83" t="s">
        <v>342</v>
      </c>
      <c r="G89" s="381" t="s">
        <v>8</v>
      </c>
      <c r="H89" s="84" t="s">
        <v>342</v>
      </c>
      <c r="I89" s="415"/>
      <c r="J89" s="416"/>
      <c r="K89" s="131"/>
    </row>
    <row r="90" spans="1:38" ht="16.7" customHeight="1" x14ac:dyDescent="0.25">
      <c r="A90" s="748" t="s">
        <v>9</v>
      </c>
      <c r="B90" s="1250">
        <v>2</v>
      </c>
      <c r="C90" s="1251"/>
      <c r="D90" s="1252"/>
      <c r="E90" s="651">
        <v>3</v>
      </c>
      <c r="F90" s="749">
        <v>4</v>
      </c>
      <c r="G90" s="651">
        <v>5</v>
      </c>
      <c r="H90" s="750">
        <v>6</v>
      </c>
      <c r="I90" s="415"/>
      <c r="J90" s="416"/>
      <c r="K90" s="131"/>
    </row>
    <row r="91" spans="1:38" ht="23.45" customHeight="1" x14ac:dyDescent="0.3">
      <c r="A91" s="32" t="s">
        <v>379</v>
      </c>
      <c r="B91" s="1232" t="s">
        <v>231</v>
      </c>
      <c r="C91" s="1232"/>
      <c r="D91" s="1232"/>
      <c r="E91" s="156">
        <f>E92+E93+E94+E96+E100+E101+E95</f>
        <v>4528766.29</v>
      </c>
      <c r="F91" s="85">
        <f t="shared" ref="F91:F96" si="11">E91/$E$91</f>
        <v>1</v>
      </c>
      <c r="G91" s="158">
        <f>G92+G93+G94+G96+G100+G101+G95</f>
        <v>4609841.2600000007</v>
      </c>
      <c r="H91" s="421">
        <f t="shared" ref="H91:H96" si="12">G91/$G$91</f>
        <v>1</v>
      </c>
      <c r="I91" s="417"/>
      <c r="J91" s="418"/>
      <c r="K91" s="131"/>
    </row>
    <row r="92" spans="1:38" ht="23.45" customHeight="1" x14ac:dyDescent="0.3">
      <c r="A92" s="32" t="s">
        <v>380</v>
      </c>
      <c r="B92" s="1232" t="s">
        <v>200</v>
      </c>
      <c r="C92" s="1232"/>
      <c r="D92" s="1232"/>
      <c r="E92" s="156">
        <f>D39</f>
        <v>739347.41999999993</v>
      </c>
      <c r="F92" s="85">
        <f t="shared" si="11"/>
        <v>0.16325581243451623</v>
      </c>
      <c r="G92" s="158">
        <f>E39</f>
        <v>511923.80999999994</v>
      </c>
      <c r="H92" s="421">
        <f t="shared" si="12"/>
        <v>0.11105020349442572</v>
      </c>
      <c r="I92" s="417"/>
      <c r="J92" s="418"/>
      <c r="K92" s="131"/>
    </row>
    <row r="93" spans="1:38" ht="23.45" customHeight="1" x14ac:dyDescent="0.3">
      <c r="A93" s="32" t="s">
        <v>381</v>
      </c>
      <c r="B93" s="1232" t="s">
        <v>201</v>
      </c>
      <c r="C93" s="1232"/>
      <c r="D93" s="1232"/>
      <c r="E93" s="156">
        <f>D36</f>
        <v>2835336.25</v>
      </c>
      <c r="F93" s="85">
        <f t="shared" si="11"/>
        <v>0.62607254789471589</v>
      </c>
      <c r="G93" s="158">
        <f>E36</f>
        <v>3017058.18</v>
      </c>
      <c r="H93" s="421">
        <f t="shared" si="12"/>
        <v>0.65448201138275197</v>
      </c>
      <c r="I93" s="417"/>
      <c r="J93" s="418"/>
      <c r="K93" s="131"/>
    </row>
    <row r="94" spans="1:38" ht="23.45" customHeight="1" x14ac:dyDescent="0.3">
      <c r="A94" s="32" t="s">
        <v>382</v>
      </c>
      <c r="B94" s="1232" t="s">
        <v>202</v>
      </c>
      <c r="C94" s="1232"/>
      <c r="D94" s="1232"/>
      <c r="E94" s="156">
        <f>D37</f>
        <v>623773.98</v>
      </c>
      <c r="F94" s="85">
        <f t="shared" si="11"/>
        <v>0.13773596164089094</v>
      </c>
      <c r="G94" s="158">
        <f>E37</f>
        <v>680327.83</v>
      </c>
      <c r="H94" s="421">
        <f t="shared" si="12"/>
        <v>0.14758161759348734</v>
      </c>
      <c r="I94" s="417"/>
      <c r="J94" s="418"/>
      <c r="K94" s="131"/>
    </row>
    <row r="95" spans="1:38" ht="23.45" customHeight="1" x14ac:dyDescent="0.3">
      <c r="A95" s="32" t="s">
        <v>383</v>
      </c>
      <c r="B95" s="1243" t="str">
        <f>B38</f>
        <v>Соціальне забезпечення</v>
      </c>
      <c r="C95" s="1244"/>
      <c r="D95" s="1245"/>
      <c r="E95" s="156">
        <f>D38</f>
        <v>0</v>
      </c>
      <c r="F95" s="85">
        <f t="shared" si="11"/>
        <v>0</v>
      </c>
      <c r="G95" s="158">
        <f>E38</f>
        <v>0</v>
      </c>
      <c r="H95" s="421">
        <f t="shared" si="12"/>
        <v>0</v>
      </c>
      <c r="I95" s="54"/>
      <c r="J95" s="419"/>
      <c r="K95" s="131"/>
    </row>
    <row r="96" spans="1:38" ht="23.45" customHeight="1" x14ac:dyDescent="0.3">
      <c r="A96" s="32" t="s">
        <v>384</v>
      </c>
      <c r="B96" s="1232" t="s">
        <v>203</v>
      </c>
      <c r="C96" s="1232"/>
      <c r="D96" s="1232"/>
      <c r="E96" s="156">
        <f>D83</f>
        <v>278138</v>
      </c>
      <c r="F96" s="85">
        <f t="shared" si="11"/>
        <v>6.1415843121372465E-2</v>
      </c>
      <c r="G96" s="158">
        <f>E83</f>
        <v>317825</v>
      </c>
      <c r="H96" s="421">
        <f t="shared" si="12"/>
        <v>6.8944890306266202E-2</v>
      </c>
      <c r="I96" s="54"/>
      <c r="J96" s="419"/>
      <c r="K96" s="131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</row>
    <row r="97" spans="1:38" ht="23.45" customHeight="1" x14ac:dyDescent="0.3">
      <c r="A97" s="32" t="s">
        <v>397</v>
      </c>
      <c r="B97" s="1227" t="s">
        <v>204</v>
      </c>
      <c r="C97" s="1227"/>
      <c r="D97" s="1227"/>
      <c r="E97" s="156">
        <f>D84</f>
        <v>278138</v>
      </c>
      <c r="F97" s="85"/>
      <c r="G97" s="158">
        <f>E84</f>
        <v>317825</v>
      </c>
      <c r="H97" s="421"/>
      <c r="I97" s="54"/>
      <c r="J97" s="419"/>
      <c r="K97" s="131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</row>
    <row r="98" spans="1:38" ht="23.45" customHeight="1" x14ac:dyDescent="0.3">
      <c r="A98" s="32" t="s">
        <v>398</v>
      </c>
      <c r="B98" s="1227" t="s">
        <v>205</v>
      </c>
      <c r="C98" s="1227"/>
      <c r="D98" s="1227"/>
      <c r="E98" s="156">
        <f>D85</f>
        <v>0</v>
      </c>
      <c r="F98" s="85"/>
      <c r="G98" s="158">
        <f>E85</f>
        <v>0</v>
      </c>
      <c r="H98" s="421"/>
      <c r="I98" s="54"/>
      <c r="J98" s="419"/>
      <c r="K98" s="131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</row>
    <row r="99" spans="1:38" ht="23.45" customHeight="1" x14ac:dyDescent="0.3">
      <c r="A99" s="32" t="s">
        <v>399</v>
      </c>
      <c r="B99" s="1227" t="s">
        <v>206</v>
      </c>
      <c r="C99" s="1227"/>
      <c r="D99" s="1227"/>
      <c r="E99" s="156">
        <f>D86</f>
        <v>0</v>
      </c>
      <c r="F99" s="85"/>
      <c r="G99" s="158">
        <f>E86</f>
        <v>0</v>
      </c>
      <c r="H99" s="421"/>
      <c r="I99" s="54"/>
      <c r="J99" s="419"/>
      <c r="K99" s="131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</row>
    <row r="100" spans="1:38" ht="23.45" customHeight="1" x14ac:dyDescent="0.3">
      <c r="A100" s="32" t="s">
        <v>385</v>
      </c>
      <c r="B100" s="1232" t="s">
        <v>207</v>
      </c>
      <c r="C100" s="1232"/>
      <c r="D100" s="1232"/>
      <c r="E100" s="156">
        <f>D62</f>
        <v>52170.64</v>
      </c>
      <c r="F100" s="85">
        <f>E100/$E$91</f>
        <v>1.1519834908504408E-2</v>
      </c>
      <c r="G100" s="158">
        <f>E62</f>
        <v>82706.44</v>
      </c>
      <c r="H100" s="421">
        <f>G100/$G$91</f>
        <v>1.7941277223068628E-2</v>
      </c>
      <c r="I100" s="417"/>
      <c r="J100" s="418"/>
      <c r="K100" s="131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1:38" ht="23.45" customHeight="1" thickBot="1" x14ac:dyDescent="0.35">
      <c r="A101" s="51" t="s">
        <v>400</v>
      </c>
      <c r="B101" s="1241" t="s">
        <v>48</v>
      </c>
      <c r="C101" s="1241"/>
      <c r="D101" s="1241"/>
      <c r="E101" s="157">
        <f>D87</f>
        <v>0</v>
      </c>
      <c r="F101" s="86">
        <f>E101/$E$91</f>
        <v>0</v>
      </c>
      <c r="G101" s="159">
        <f>E87</f>
        <v>0</v>
      </c>
      <c r="H101" s="422">
        <f>G101/$G$91</f>
        <v>0</v>
      </c>
      <c r="I101" s="54"/>
      <c r="J101" s="420"/>
      <c r="K101" s="131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</row>
    <row r="102" spans="1:38" s="130" customFormat="1" x14ac:dyDescent="0.25">
      <c r="A102" s="1240"/>
      <c r="B102" s="1240"/>
      <c r="C102" s="1240"/>
      <c r="D102" s="1240"/>
      <c r="E102" s="1240"/>
      <c r="F102" s="1240"/>
      <c r="G102" s="1240"/>
      <c r="H102" s="1240"/>
      <c r="I102" s="1240"/>
      <c r="J102" s="1240"/>
      <c r="K102" s="1240"/>
      <c r="L102" s="1240"/>
      <c r="M102" s="1240"/>
      <c r="N102" s="1240"/>
      <c r="O102" s="1240"/>
      <c r="P102" s="1240"/>
      <c r="Q102" s="1240"/>
    </row>
    <row r="103" spans="1:38" s="130" customFormat="1" x14ac:dyDescent="0.25">
      <c r="A103" s="1240"/>
      <c r="B103" s="1240"/>
      <c r="C103" s="1240"/>
      <c r="D103" s="1240"/>
      <c r="E103" s="1240"/>
      <c r="F103" s="1240"/>
      <c r="G103" s="1240"/>
      <c r="H103" s="1240"/>
      <c r="I103" s="1240"/>
      <c r="J103" s="1240"/>
      <c r="K103" s="1240"/>
      <c r="L103" s="1240"/>
      <c r="M103" s="1240"/>
      <c r="N103" s="1240"/>
      <c r="O103" s="1240"/>
      <c r="P103" s="1240"/>
      <c r="Q103" s="1240"/>
    </row>
    <row r="104" spans="1:38" s="130" customFormat="1" x14ac:dyDescent="0.25">
      <c r="A104" s="1240"/>
      <c r="B104" s="1240"/>
      <c r="C104" s="1240"/>
      <c r="D104" s="1240"/>
      <c r="E104" s="1240"/>
      <c r="F104" s="1240"/>
      <c r="G104" s="1240"/>
      <c r="H104" s="1240"/>
      <c r="I104" s="1240"/>
      <c r="J104" s="1240"/>
      <c r="K104" s="1240"/>
      <c r="L104" s="1240"/>
      <c r="M104" s="1240"/>
      <c r="N104" s="1240"/>
      <c r="O104" s="1240"/>
      <c r="P104" s="1240"/>
      <c r="Q104" s="1240"/>
    </row>
    <row r="105" spans="1:38" s="130" customFormat="1" x14ac:dyDescent="0.25">
      <c r="A105" s="1240"/>
      <c r="B105" s="1240"/>
      <c r="C105" s="1240"/>
      <c r="D105" s="1240"/>
      <c r="E105" s="1240"/>
      <c r="F105" s="1240"/>
      <c r="G105" s="1240"/>
      <c r="H105" s="1240"/>
      <c r="I105" s="1240"/>
      <c r="J105" s="1240"/>
      <c r="K105" s="1240"/>
      <c r="L105" s="1240"/>
      <c r="M105" s="1240"/>
      <c r="N105" s="1240"/>
      <c r="O105" s="1240"/>
      <c r="P105" s="1240"/>
      <c r="Q105" s="1240"/>
    </row>
    <row r="106" spans="1:38" s="130" customFormat="1" x14ac:dyDescent="0.25">
      <c r="A106" s="1240"/>
      <c r="B106" s="1240"/>
      <c r="C106" s="1240"/>
      <c r="D106" s="1240"/>
      <c r="E106" s="1240"/>
      <c r="F106" s="1240"/>
      <c r="G106" s="1240"/>
      <c r="H106" s="1240"/>
      <c r="I106" s="1240"/>
      <c r="J106" s="1240"/>
      <c r="K106" s="1240"/>
      <c r="L106" s="1240"/>
      <c r="M106" s="1240"/>
      <c r="N106" s="1240"/>
      <c r="O106" s="1240"/>
      <c r="P106" s="1240"/>
      <c r="Q106" s="1240"/>
    </row>
    <row r="107" spans="1:38" s="130" customFormat="1" x14ac:dyDescent="0.25">
      <c r="A107" s="1240"/>
      <c r="B107" s="1240"/>
      <c r="C107" s="1240"/>
      <c r="D107" s="1240"/>
      <c r="E107" s="1240"/>
      <c r="F107" s="1240"/>
      <c r="G107" s="1240"/>
      <c r="H107" s="1240"/>
      <c r="I107" s="1240"/>
      <c r="J107" s="1240"/>
      <c r="K107" s="1240"/>
      <c r="L107" s="1240"/>
      <c r="M107" s="1240"/>
      <c r="N107" s="1240"/>
      <c r="O107" s="1240"/>
      <c r="P107" s="1240"/>
      <c r="Q107" s="1240"/>
    </row>
    <row r="108" spans="1:38" s="130" customFormat="1" x14ac:dyDescent="0.25">
      <c r="A108" s="1240"/>
      <c r="B108" s="1240"/>
      <c r="C108" s="1240"/>
      <c r="D108" s="1240"/>
      <c r="E108" s="1240"/>
      <c r="F108" s="1240"/>
      <c r="G108" s="1240"/>
      <c r="H108" s="1240"/>
      <c r="I108" s="1240"/>
      <c r="J108" s="1240"/>
      <c r="K108" s="1240"/>
      <c r="L108" s="1240"/>
      <c r="M108" s="1240"/>
      <c r="N108" s="1240"/>
      <c r="O108" s="1240"/>
      <c r="P108" s="1240"/>
      <c r="Q108" s="1240"/>
    </row>
    <row r="109" spans="1:38" s="130" customFormat="1" x14ac:dyDescent="0.25">
      <c r="A109" s="1240"/>
      <c r="B109" s="1240"/>
      <c r="C109" s="1240"/>
      <c r="D109" s="1240"/>
      <c r="E109" s="1240"/>
      <c r="F109" s="1240"/>
      <c r="G109" s="1240"/>
      <c r="H109" s="1240"/>
      <c r="I109" s="1240"/>
      <c r="J109" s="1240"/>
      <c r="K109" s="1240"/>
      <c r="L109" s="1240"/>
      <c r="M109" s="1240"/>
      <c r="N109" s="1240"/>
      <c r="O109" s="1240"/>
      <c r="P109" s="1240"/>
      <c r="Q109" s="1240"/>
    </row>
    <row r="110" spans="1:38" s="130" customFormat="1" x14ac:dyDescent="0.25">
      <c r="A110" s="1240"/>
      <c r="B110" s="1240"/>
      <c r="C110" s="1240"/>
      <c r="D110" s="1240"/>
      <c r="E110" s="1240"/>
      <c r="F110" s="1240"/>
      <c r="G110" s="1240"/>
      <c r="H110" s="1240"/>
      <c r="I110" s="1240"/>
      <c r="J110" s="1240"/>
      <c r="K110" s="1240"/>
      <c r="L110" s="1240"/>
      <c r="M110" s="1240"/>
      <c r="N110" s="1240"/>
      <c r="O110" s="1240"/>
      <c r="P110" s="1240"/>
      <c r="Q110" s="1240"/>
    </row>
    <row r="111" spans="1:38" s="130" customFormat="1" x14ac:dyDescent="0.25">
      <c r="A111" s="1240"/>
      <c r="B111" s="1240"/>
      <c r="C111" s="1240"/>
      <c r="D111" s="1240"/>
      <c r="E111" s="1240"/>
      <c r="F111" s="1240"/>
      <c r="G111" s="1240"/>
      <c r="H111" s="1240"/>
      <c r="I111" s="1240"/>
      <c r="J111" s="1240"/>
      <c r="K111" s="1240"/>
      <c r="L111" s="1240"/>
      <c r="M111" s="1240"/>
      <c r="N111" s="1240"/>
      <c r="O111" s="1240"/>
      <c r="P111" s="1240"/>
      <c r="Q111" s="1240"/>
    </row>
    <row r="112" spans="1:38" s="130" customFormat="1" x14ac:dyDescent="0.25">
      <c r="A112" s="1240"/>
      <c r="B112" s="1240"/>
      <c r="C112" s="1240"/>
      <c r="D112" s="1240"/>
      <c r="E112" s="1240"/>
      <c r="F112" s="1240"/>
      <c r="G112" s="1240"/>
      <c r="H112" s="1240"/>
      <c r="I112" s="1240"/>
      <c r="J112" s="1240"/>
      <c r="K112" s="1240"/>
      <c r="L112" s="1240"/>
      <c r="M112" s="1240"/>
      <c r="N112" s="1240"/>
      <c r="O112" s="1240"/>
      <c r="P112" s="1240"/>
      <c r="Q112" s="1240"/>
    </row>
    <row r="113" spans="1:17" s="130" customFormat="1" x14ac:dyDescent="0.25">
      <c r="A113" s="1240"/>
      <c r="B113" s="1240"/>
      <c r="C113" s="1240"/>
      <c r="D113" s="1240"/>
      <c r="E113" s="1240"/>
      <c r="F113" s="1240"/>
      <c r="G113" s="1240"/>
      <c r="H113" s="1240"/>
      <c r="I113" s="1240"/>
      <c r="J113" s="1240"/>
      <c r="K113" s="1240"/>
      <c r="L113" s="1240"/>
      <c r="M113" s="1240"/>
      <c r="N113" s="1240"/>
      <c r="O113" s="1240"/>
      <c r="P113" s="1240"/>
      <c r="Q113" s="1240"/>
    </row>
    <row r="114" spans="1:17" s="130" customFormat="1" x14ac:dyDescent="0.25">
      <c r="A114" s="1240"/>
      <c r="B114" s="1240"/>
      <c r="C114" s="1240"/>
      <c r="D114" s="1240"/>
      <c r="E114" s="1240"/>
      <c r="F114" s="1240"/>
      <c r="G114" s="1240"/>
      <c r="H114" s="1240"/>
      <c r="I114" s="1240"/>
      <c r="J114" s="1240"/>
      <c r="K114" s="1240"/>
      <c r="L114" s="1240"/>
      <c r="M114" s="1240"/>
      <c r="N114" s="1240"/>
      <c r="O114" s="1240"/>
      <c r="P114" s="1240"/>
      <c r="Q114" s="1240"/>
    </row>
    <row r="115" spans="1:17" s="130" customFormat="1" x14ac:dyDescent="0.25">
      <c r="A115" s="1240"/>
      <c r="B115" s="1240"/>
      <c r="C115" s="1240"/>
      <c r="D115" s="1240"/>
      <c r="E115" s="1240"/>
      <c r="F115" s="1240"/>
      <c r="G115" s="1240"/>
      <c r="H115" s="1240"/>
      <c r="I115" s="1240"/>
      <c r="J115" s="1240"/>
      <c r="K115" s="1240"/>
      <c r="L115" s="1240"/>
      <c r="M115" s="1240"/>
      <c r="N115" s="1240"/>
      <c r="O115" s="1240"/>
      <c r="P115" s="1240"/>
      <c r="Q115" s="1240"/>
    </row>
    <row r="116" spans="1:17" s="130" customFormat="1" x14ac:dyDescent="0.25">
      <c r="A116" s="1240"/>
      <c r="B116" s="1240"/>
      <c r="C116" s="1240"/>
      <c r="D116" s="1240"/>
      <c r="E116" s="1240"/>
      <c r="F116" s="1240"/>
      <c r="G116" s="1240"/>
      <c r="H116" s="1240"/>
      <c r="I116" s="1240"/>
      <c r="J116" s="1240"/>
      <c r="K116" s="1240"/>
      <c r="L116" s="1240"/>
      <c r="M116" s="1240"/>
      <c r="N116" s="1240"/>
      <c r="O116" s="1240"/>
      <c r="P116" s="1240"/>
      <c r="Q116" s="1240"/>
    </row>
    <row r="117" spans="1:17" s="130" customFormat="1" x14ac:dyDescent="0.25">
      <c r="A117" s="1240"/>
      <c r="B117" s="1240"/>
      <c r="C117" s="1240"/>
      <c r="D117" s="1240"/>
      <c r="E117" s="1240"/>
      <c r="F117" s="1240"/>
      <c r="G117" s="1240"/>
      <c r="H117" s="1240"/>
      <c r="I117" s="1240"/>
      <c r="J117" s="1240"/>
      <c r="K117" s="1240"/>
      <c r="L117" s="1240"/>
      <c r="M117" s="1240"/>
      <c r="N117" s="1240"/>
      <c r="O117" s="1240"/>
      <c r="P117" s="1240"/>
      <c r="Q117" s="1240"/>
    </row>
    <row r="118" spans="1:17" s="130" customFormat="1" x14ac:dyDescent="0.25">
      <c r="A118" s="1240"/>
      <c r="B118" s="1240"/>
      <c r="C118" s="1240"/>
      <c r="D118" s="1240"/>
      <c r="E118" s="1240"/>
      <c r="F118" s="1240"/>
      <c r="G118" s="1240"/>
      <c r="H118" s="1240"/>
      <c r="I118" s="1240"/>
      <c r="J118" s="1240"/>
      <c r="K118" s="1240"/>
      <c r="L118" s="1240"/>
      <c r="M118" s="1240"/>
      <c r="N118" s="1240"/>
      <c r="O118" s="1240"/>
      <c r="P118" s="1240"/>
      <c r="Q118" s="1240"/>
    </row>
    <row r="119" spans="1:17" s="130" customFormat="1" x14ac:dyDescent="0.25">
      <c r="A119" s="1240"/>
      <c r="B119" s="1240"/>
      <c r="C119" s="1240"/>
      <c r="D119" s="1240"/>
      <c r="E119" s="1240"/>
      <c r="F119" s="1240"/>
      <c r="G119" s="1240"/>
      <c r="H119" s="1240"/>
      <c r="I119" s="1240"/>
      <c r="J119" s="1240"/>
      <c r="K119" s="1240"/>
      <c r="L119" s="1240"/>
      <c r="M119" s="1240"/>
      <c r="N119" s="1240"/>
      <c r="O119" s="1240"/>
      <c r="P119" s="1240"/>
      <c r="Q119" s="1240"/>
    </row>
    <row r="120" spans="1:17" s="130" customFormat="1" x14ac:dyDescent="0.25">
      <c r="A120" s="1240"/>
      <c r="B120" s="1240"/>
      <c r="C120" s="1240"/>
      <c r="D120" s="1240"/>
      <c r="E120" s="1240"/>
      <c r="F120" s="1240"/>
      <c r="G120" s="1240"/>
      <c r="H120" s="1240"/>
      <c r="I120" s="1240"/>
      <c r="J120" s="1240"/>
      <c r="K120" s="1240"/>
      <c r="L120" s="1240"/>
      <c r="M120" s="1240"/>
      <c r="N120" s="1240"/>
      <c r="O120" s="1240"/>
      <c r="P120" s="1240"/>
      <c r="Q120" s="1240"/>
    </row>
    <row r="121" spans="1:17" s="130" customFormat="1" x14ac:dyDescent="0.25">
      <c r="A121" s="1240"/>
      <c r="B121" s="1240"/>
      <c r="C121" s="1240"/>
      <c r="D121" s="1240"/>
      <c r="E121" s="1240"/>
      <c r="F121" s="1240"/>
      <c r="G121" s="1240"/>
      <c r="H121" s="1240"/>
      <c r="I121" s="1240"/>
      <c r="J121" s="1240"/>
      <c r="K121" s="1240"/>
      <c r="L121" s="1240"/>
      <c r="M121" s="1240"/>
      <c r="N121" s="1240"/>
      <c r="O121" s="1240"/>
      <c r="P121" s="1240"/>
      <c r="Q121" s="1240"/>
    </row>
    <row r="122" spans="1:17" s="130" customFormat="1" x14ac:dyDescent="0.25">
      <c r="A122" s="1240"/>
      <c r="B122" s="1240"/>
      <c r="C122" s="1240"/>
      <c r="D122" s="1240"/>
      <c r="E122" s="1240"/>
      <c r="F122" s="1240"/>
      <c r="G122" s="1240"/>
      <c r="H122" s="1240"/>
      <c r="I122" s="1240"/>
      <c r="J122" s="1240"/>
      <c r="K122" s="1240"/>
      <c r="L122" s="1240"/>
      <c r="M122" s="1240"/>
      <c r="N122" s="1240"/>
      <c r="O122" s="1240"/>
      <c r="P122" s="1240"/>
      <c r="Q122" s="1240"/>
    </row>
    <row r="123" spans="1:17" s="130" customFormat="1" x14ac:dyDescent="0.25">
      <c r="A123" s="1240"/>
      <c r="B123" s="1240"/>
      <c r="C123" s="1240"/>
      <c r="D123" s="1240"/>
      <c r="E123" s="1240"/>
      <c r="F123" s="1240"/>
      <c r="G123" s="1240"/>
      <c r="H123" s="1240"/>
      <c r="I123" s="1240"/>
      <c r="J123" s="1240"/>
      <c r="K123" s="1240"/>
      <c r="L123" s="1240"/>
      <c r="M123" s="1240"/>
      <c r="N123" s="1240"/>
      <c r="O123" s="1240"/>
      <c r="P123" s="1240"/>
      <c r="Q123" s="1240"/>
    </row>
    <row r="124" spans="1:17" s="130" customFormat="1" x14ac:dyDescent="0.25">
      <c r="A124" s="1240"/>
      <c r="B124" s="1240"/>
      <c r="C124" s="1240"/>
      <c r="D124" s="1240"/>
      <c r="E124" s="1240"/>
      <c r="F124" s="1240"/>
      <c r="G124" s="1240"/>
      <c r="H124" s="1240"/>
      <c r="I124" s="1240"/>
      <c r="J124" s="1240"/>
      <c r="K124" s="1240"/>
      <c r="L124" s="1240"/>
      <c r="M124" s="1240"/>
      <c r="N124" s="1240"/>
      <c r="O124" s="1240"/>
      <c r="P124" s="1240"/>
      <c r="Q124" s="1240"/>
    </row>
    <row r="125" spans="1:17" s="130" customFormat="1" x14ac:dyDescent="0.25">
      <c r="A125" s="1240"/>
      <c r="B125" s="1240"/>
      <c r="C125" s="1240"/>
      <c r="D125" s="1240"/>
      <c r="E125" s="1240"/>
      <c r="F125" s="1240"/>
      <c r="G125" s="1240"/>
      <c r="H125" s="1240"/>
      <c r="I125" s="1240"/>
      <c r="J125" s="1240"/>
      <c r="K125" s="1240"/>
      <c r="L125" s="1240"/>
      <c r="M125" s="1240"/>
      <c r="N125" s="1240"/>
      <c r="O125" s="1240"/>
      <c r="P125" s="1240"/>
      <c r="Q125" s="1240"/>
    </row>
    <row r="126" spans="1:17" s="130" customFormat="1" x14ac:dyDescent="0.25">
      <c r="A126" s="1240"/>
      <c r="B126" s="1240"/>
      <c r="C126" s="1240"/>
      <c r="D126" s="1240"/>
      <c r="E126" s="1240"/>
      <c r="F126" s="1240"/>
      <c r="G126" s="1240"/>
      <c r="H126" s="1240"/>
      <c r="I126" s="1240"/>
      <c r="J126" s="1240"/>
      <c r="K126" s="1240"/>
      <c r="L126" s="1240"/>
      <c r="M126" s="1240"/>
      <c r="N126" s="1240"/>
      <c r="O126" s="1240"/>
      <c r="P126" s="1240"/>
      <c r="Q126" s="1240"/>
    </row>
    <row r="127" spans="1:17" s="130" customFormat="1" x14ac:dyDescent="0.25">
      <c r="A127" s="169"/>
      <c r="B127" s="171"/>
      <c r="D127" s="134"/>
      <c r="E127" s="134"/>
      <c r="F127" s="134"/>
      <c r="G127" s="134"/>
      <c r="H127" s="135"/>
      <c r="I127" s="135"/>
      <c r="J127" s="135"/>
      <c r="K127" s="135"/>
      <c r="L127" s="135"/>
      <c r="M127" s="168"/>
      <c r="N127" s="168"/>
      <c r="O127" s="133"/>
      <c r="Q127" s="131"/>
    </row>
    <row r="128" spans="1:17" s="130" customFormat="1" x14ac:dyDescent="0.25">
      <c r="A128" s="169"/>
      <c r="B128" s="171"/>
      <c r="D128" s="134"/>
      <c r="E128" s="134"/>
      <c r="F128" s="134"/>
      <c r="G128" s="134"/>
      <c r="H128" s="135"/>
      <c r="I128" s="135"/>
      <c r="J128" s="135"/>
      <c r="K128" s="135"/>
      <c r="L128" s="135"/>
      <c r="M128" s="168"/>
      <c r="N128" s="168"/>
      <c r="O128" s="133"/>
      <c r="Q128" s="131"/>
    </row>
    <row r="129" spans="1:17" s="130" customFormat="1" x14ac:dyDescent="0.25">
      <c r="A129" s="169"/>
      <c r="B129" s="171"/>
      <c r="D129" s="134"/>
      <c r="E129" s="134"/>
      <c r="F129" s="134"/>
      <c r="G129" s="134"/>
      <c r="H129" s="135"/>
      <c r="I129" s="135"/>
      <c r="J129" s="135"/>
      <c r="K129" s="135"/>
      <c r="L129" s="135"/>
      <c r="M129" s="168"/>
      <c r="N129" s="168"/>
      <c r="O129" s="133"/>
      <c r="Q129" s="131"/>
    </row>
    <row r="130" spans="1:17" s="130" customFormat="1" x14ac:dyDescent="0.25">
      <c r="A130" s="169"/>
      <c r="B130" s="171"/>
      <c r="D130" s="134"/>
      <c r="E130" s="134"/>
      <c r="F130" s="134"/>
      <c r="G130" s="134"/>
      <c r="H130" s="135"/>
      <c r="I130" s="135"/>
      <c r="J130" s="135"/>
      <c r="K130" s="135"/>
      <c r="L130" s="135"/>
      <c r="M130" s="168"/>
      <c r="N130" s="168"/>
      <c r="O130" s="133"/>
      <c r="Q130" s="131"/>
    </row>
    <row r="131" spans="1:17" s="130" customFormat="1" x14ac:dyDescent="0.25">
      <c r="A131" s="169"/>
      <c r="B131" s="171"/>
      <c r="D131" s="134"/>
      <c r="E131" s="134"/>
      <c r="F131" s="134"/>
      <c r="G131" s="134"/>
      <c r="H131" s="135"/>
      <c r="I131" s="135"/>
      <c r="J131" s="135"/>
      <c r="K131" s="135"/>
      <c r="L131" s="135"/>
      <c r="M131" s="168"/>
      <c r="N131" s="168"/>
      <c r="O131" s="133"/>
      <c r="Q131" s="131"/>
    </row>
    <row r="132" spans="1:17" s="130" customFormat="1" x14ac:dyDescent="0.25">
      <c r="A132" s="169"/>
      <c r="B132" s="171"/>
      <c r="D132" s="134"/>
      <c r="E132" s="134"/>
      <c r="F132" s="134"/>
      <c r="G132" s="134"/>
      <c r="H132" s="135"/>
      <c r="I132" s="135"/>
      <c r="J132" s="135"/>
      <c r="K132" s="135"/>
      <c r="L132" s="135"/>
      <c r="M132" s="168"/>
      <c r="N132" s="168"/>
      <c r="O132" s="133"/>
      <c r="Q132" s="131"/>
    </row>
    <row r="133" spans="1:17" s="130" customFormat="1" x14ac:dyDescent="0.25">
      <c r="A133" s="169"/>
      <c r="B133" s="171"/>
      <c r="D133" s="134"/>
      <c r="E133" s="134"/>
      <c r="F133" s="134"/>
      <c r="G133" s="134"/>
      <c r="H133" s="135"/>
      <c r="I133" s="135"/>
      <c r="J133" s="135"/>
      <c r="K133" s="135"/>
      <c r="L133" s="135"/>
      <c r="M133" s="168"/>
      <c r="N133" s="168"/>
      <c r="O133" s="133"/>
      <c r="Q133" s="131"/>
    </row>
    <row r="134" spans="1:17" s="130" customFormat="1" x14ac:dyDescent="0.25">
      <c r="A134" s="169"/>
      <c r="B134" s="171"/>
      <c r="D134" s="134"/>
      <c r="E134" s="134"/>
      <c r="F134" s="134"/>
      <c r="G134" s="134"/>
      <c r="H134" s="135"/>
      <c r="I134" s="135"/>
      <c r="J134" s="135"/>
      <c r="K134" s="135"/>
      <c r="L134" s="135"/>
      <c r="M134" s="168"/>
      <c r="N134" s="168"/>
      <c r="O134" s="133"/>
      <c r="Q134" s="131"/>
    </row>
    <row r="135" spans="1:17" s="130" customFormat="1" x14ac:dyDescent="0.25">
      <c r="A135" s="169"/>
      <c r="B135" s="171"/>
      <c r="D135" s="134"/>
      <c r="E135" s="134"/>
      <c r="F135" s="134"/>
      <c r="G135" s="134"/>
      <c r="H135" s="135"/>
      <c r="I135" s="135"/>
      <c r="J135" s="135"/>
      <c r="K135" s="135"/>
      <c r="L135" s="135"/>
      <c r="M135" s="168"/>
      <c r="N135" s="168"/>
      <c r="O135" s="133"/>
      <c r="Q135" s="131"/>
    </row>
    <row r="136" spans="1:17" s="130" customFormat="1" x14ac:dyDescent="0.25">
      <c r="A136" s="169"/>
      <c r="B136" s="171"/>
      <c r="D136" s="134"/>
      <c r="E136" s="134"/>
      <c r="F136" s="134"/>
      <c r="G136" s="134"/>
      <c r="H136" s="135"/>
      <c r="I136" s="135"/>
      <c r="J136" s="135"/>
      <c r="K136" s="135"/>
      <c r="L136" s="135"/>
      <c r="M136" s="168"/>
      <c r="N136" s="168"/>
      <c r="O136" s="133"/>
      <c r="Q136" s="131"/>
    </row>
    <row r="137" spans="1:17" s="130" customFormat="1" x14ac:dyDescent="0.25">
      <c r="A137" s="169"/>
      <c r="B137" s="171"/>
      <c r="D137" s="134"/>
      <c r="E137" s="134"/>
      <c r="F137" s="134"/>
      <c r="G137" s="134"/>
      <c r="H137" s="135"/>
      <c r="I137" s="135"/>
      <c r="J137" s="135"/>
      <c r="K137" s="135"/>
      <c r="L137" s="135"/>
      <c r="M137" s="168"/>
      <c r="N137" s="168"/>
      <c r="O137" s="133"/>
      <c r="Q137" s="131"/>
    </row>
    <row r="138" spans="1:17" s="130" customFormat="1" x14ac:dyDescent="0.25">
      <c r="A138" s="169"/>
      <c r="B138" s="171"/>
      <c r="D138" s="134"/>
      <c r="E138" s="134"/>
      <c r="F138" s="134"/>
      <c r="G138" s="134"/>
      <c r="H138" s="135"/>
      <c r="I138" s="135"/>
      <c r="J138" s="135"/>
      <c r="K138" s="135"/>
      <c r="L138" s="135"/>
      <c r="M138" s="168"/>
      <c r="N138" s="168"/>
      <c r="O138" s="133"/>
      <c r="Q138" s="131"/>
    </row>
    <row r="139" spans="1:17" s="130" customFormat="1" x14ac:dyDescent="0.25">
      <c r="A139" s="169"/>
      <c r="B139" s="171"/>
      <c r="D139" s="134"/>
      <c r="E139" s="134"/>
      <c r="F139" s="134"/>
      <c r="G139" s="134"/>
      <c r="H139" s="135"/>
      <c r="I139" s="135"/>
      <c r="J139" s="135"/>
      <c r="K139" s="135"/>
      <c r="L139" s="135"/>
      <c r="M139" s="168"/>
      <c r="N139" s="168"/>
      <c r="O139" s="133"/>
      <c r="Q139" s="131"/>
    </row>
    <row r="140" spans="1:17" s="130" customFormat="1" x14ac:dyDescent="0.25">
      <c r="A140" s="169"/>
      <c r="B140" s="171"/>
      <c r="D140" s="134"/>
      <c r="E140" s="134"/>
      <c r="F140" s="134"/>
      <c r="G140" s="134"/>
      <c r="H140" s="135"/>
      <c r="I140" s="135"/>
      <c r="J140" s="135"/>
      <c r="K140" s="135"/>
      <c r="L140" s="135"/>
      <c r="M140" s="168"/>
      <c r="N140" s="168"/>
      <c r="O140" s="133"/>
      <c r="Q140" s="131"/>
    </row>
    <row r="141" spans="1:17" s="130" customFormat="1" x14ac:dyDescent="0.25">
      <c r="A141" s="169"/>
      <c r="B141" s="171"/>
      <c r="D141" s="134"/>
      <c r="E141" s="134"/>
      <c r="F141" s="134"/>
      <c r="G141" s="134"/>
      <c r="H141" s="135"/>
      <c r="I141" s="135"/>
      <c r="J141" s="135"/>
      <c r="K141" s="135"/>
      <c r="L141" s="135"/>
      <c r="M141" s="168"/>
      <c r="N141" s="168"/>
      <c r="O141" s="133"/>
      <c r="Q141" s="131"/>
    </row>
    <row r="142" spans="1:17" s="130" customFormat="1" x14ac:dyDescent="0.25">
      <c r="A142" s="169"/>
      <c r="B142" s="171"/>
      <c r="D142" s="134"/>
      <c r="E142" s="134"/>
      <c r="F142" s="134"/>
      <c r="G142" s="134"/>
      <c r="H142" s="135"/>
      <c r="I142" s="135"/>
      <c r="J142" s="135"/>
      <c r="K142" s="135"/>
      <c r="L142" s="135"/>
      <c r="M142" s="168"/>
      <c r="N142" s="168"/>
      <c r="O142" s="133"/>
      <c r="Q142" s="131"/>
    </row>
    <row r="143" spans="1:17" s="130" customFormat="1" x14ac:dyDescent="0.25">
      <c r="A143" s="169"/>
      <c r="B143" s="171"/>
      <c r="D143" s="134"/>
      <c r="E143" s="134"/>
      <c r="F143" s="134"/>
      <c r="G143" s="134"/>
      <c r="H143" s="135"/>
      <c r="I143" s="135"/>
      <c r="J143" s="135"/>
      <c r="K143" s="135"/>
      <c r="L143" s="135"/>
      <c r="M143" s="168"/>
      <c r="N143" s="168"/>
      <c r="O143" s="133"/>
      <c r="Q143" s="131"/>
    </row>
    <row r="144" spans="1:17" s="130" customFormat="1" x14ac:dyDescent="0.25">
      <c r="A144" s="169"/>
      <c r="B144" s="171"/>
      <c r="D144" s="134"/>
      <c r="E144" s="134"/>
      <c r="F144" s="134"/>
      <c r="G144" s="134"/>
      <c r="H144" s="135"/>
      <c r="I144" s="135"/>
      <c r="J144" s="135"/>
      <c r="K144" s="135"/>
      <c r="L144" s="135"/>
      <c r="M144" s="168"/>
      <c r="N144" s="168"/>
      <c r="O144" s="133"/>
      <c r="Q144" s="131"/>
    </row>
    <row r="145" spans="1:17" s="130" customFormat="1" x14ac:dyDescent="0.25">
      <c r="A145" s="169"/>
      <c r="B145" s="171"/>
      <c r="D145" s="134"/>
      <c r="E145" s="134"/>
      <c r="F145" s="134"/>
      <c r="G145" s="134"/>
      <c r="H145" s="135"/>
      <c r="I145" s="135"/>
      <c r="J145" s="135"/>
      <c r="K145" s="135"/>
      <c r="L145" s="135"/>
      <c r="M145" s="168"/>
      <c r="N145" s="168"/>
      <c r="O145" s="133"/>
      <c r="Q145" s="131"/>
    </row>
    <row r="146" spans="1:17" s="130" customFormat="1" x14ac:dyDescent="0.25">
      <c r="A146" s="169"/>
      <c r="B146" s="171"/>
      <c r="D146" s="134"/>
      <c r="E146" s="134"/>
      <c r="F146" s="134"/>
      <c r="G146" s="134"/>
      <c r="H146" s="135"/>
      <c r="I146" s="135"/>
      <c r="J146" s="135"/>
      <c r="K146" s="135"/>
      <c r="L146" s="135"/>
      <c r="M146" s="168"/>
      <c r="N146" s="168"/>
      <c r="O146" s="133"/>
      <c r="Q146" s="131"/>
    </row>
    <row r="147" spans="1:17" s="130" customFormat="1" x14ac:dyDescent="0.25">
      <c r="A147" s="169"/>
      <c r="B147" s="171"/>
      <c r="D147" s="134"/>
      <c r="E147" s="134"/>
      <c r="F147" s="134"/>
      <c r="G147" s="134"/>
      <c r="H147" s="135"/>
      <c r="I147" s="135"/>
      <c r="J147" s="135"/>
      <c r="K147" s="135"/>
      <c r="L147" s="135"/>
      <c r="M147" s="168"/>
      <c r="N147" s="168"/>
      <c r="O147" s="133"/>
      <c r="Q147" s="131"/>
    </row>
    <row r="148" spans="1:17" s="130" customFormat="1" x14ac:dyDescent="0.25">
      <c r="A148" s="169"/>
      <c r="B148" s="171"/>
      <c r="D148" s="134"/>
      <c r="E148" s="134"/>
      <c r="F148" s="134"/>
      <c r="G148" s="134"/>
      <c r="H148" s="135"/>
      <c r="I148" s="135"/>
      <c r="J148" s="135"/>
      <c r="K148" s="135"/>
      <c r="L148" s="135"/>
      <c r="M148" s="168"/>
      <c r="N148" s="168"/>
      <c r="O148" s="133"/>
      <c r="Q148" s="131"/>
    </row>
    <row r="149" spans="1:17" s="130" customFormat="1" x14ac:dyDescent="0.25">
      <c r="A149" s="169"/>
      <c r="B149" s="171"/>
      <c r="D149" s="134"/>
      <c r="E149" s="134"/>
      <c r="F149" s="134"/>
      <c r="G149" s="134"/>
      <c r="H149" s="135"/>
      <c r="I149" s="135"/>
      <c r="J149" s="135"/>
      <c r="K149" s="135"/>
      <c r="L149" s="135"/>
      <c r="M149" s="168"/>
      <c r="N149" s="168"/>
      <c r="O149" s="133"/>
      <c r="Q149" s="131"/>
    </row>
    <row r="150" spans="1:17" s="130" customFormat="1" x14ac:dyDescent="0.25">
      <c r="A150" s="169"/>
      <c r="B150" s="171"/>
      <c r="D150" s="134"/>
      <c r="E150" s="134"/>
      <c r="F150" s="134"/>
      <c r="G150" s="134"/>
      <c r="H150" s="135"/>
      <c r="I150" s="135"/>
      <c r="J150" s="135"/>
      <c r="K150" s="135"/>
      <c r="L150" s="135"/>
      <c r="M150" s="168"/>
      <c r="N150" s="168"/>
      <c r="O150" s="133"/>
      <c r="Q150" s="131"/>
    </row>
    <row r="151" spans="1:17" s="130" customFormat="1" x14ac:dyDescent="0.25">
      <c r="A151" s="169"/>
      <c r="B151" s="171"/>
      <c r="D151" s="134"/>
      <c r="E151" s="134"/>
      <c r="F151" s="134"/>
      <c r="G151" s="134"/>
      <c r="H151" s="135"/>
      <c r="I151" s="135"/>
      <c r="J151" s="135"/>
      <c r="K151" s="135"/>
      <c r="L151" s="135"/>
      <c r="M151" s="168"/>
      <c r="N151" s="168"/>
      <c r="O151" s="133"/>
      <c r="Q151" s="131"/>
    </row>
    <row r="152" spans="1:17" s="130" customFormat="1" x14ac:dyDescent="0.25">
      <c r="A152" s="169"/>
      <c r="B152" s="171"/>
      <c r="D152" s="134"/>
      <c r="E152" s="134"/>
      <c r="F152" s="134"/>
      <c r="G152" s="134"/>
      <c r="H152" s="135"/>
      <c r="I152" s="135"/>
      <c r="J152" s="135"/>
      <c r="K152" s="135"/>
      <c r="L152" s="135"/>
      <c r="M152" s="168"/>
      <c r="N152" s="168"/>
      <c r="O152" s="133"/>
      <c r="Q152" s="131"/>
    </row>
    <row r="153" spans="1:17" s="130" customFormat="1" x14ac:dyDescent="0.25">
      <c r="A153" s="169"/>
      <c r="B153" s="171"/>
      <c r="D153" s="134"/>
      <c r="E153" s="134"/>
      <c r="F153" s="134"/>
      <c r="G153" s="134"/>
      <c r="H153" s="135"/>
      <c r="I153" s="135"/>
      <c r="J153" s="135"/>
      <c r="K153" s="135"/>
      <c r="L153" s="135"/>
      <c r="M153" s="168"/>
      <c r="N153" s="168"/>
      <c r="O153" s="133"/>
      <c r="Q153" s="131"/>
    </row>
    <row r="154" spans="1:17" s="130" customFormat="1" x14ac:dyDescent="0.25">
      <c r="A154" s="169"/>
      <c r="B154" s="171"/>
      <c r="D154" s="134"/>
      <c r="E154" s="134"/>
      <c r="F154" s="134"/>
      <c r="G154" s="134"/>
      <c r="H154" s="135"/>
      <c r="I154" s="135"/>
      <c r="J154" s="135"/>
      <c r="K154" s="135"/>
      <c r="L154" s="135"/>
      <c r="M154" s="168"/>
      <c r="N154" s="168"/>
      <c r="O154" s="133"/>
      <c r="Q154" s="131"/>
    </row>
    <row r="155" spans="1:17" s="130" customFormat="1" x14ac:dyDescent="0.25">
      <c r="A155" s="169"/>
      <c r="B155" s="171"/>
      <c r="D155" s="134"/>
      <c r="E155" s="134"/>
      <c r="F155" s="134"/>
      <c r="G155" s="134"/>
      <c r="H155" s="135"/>
      <c r="I155" s="135"/>
      <c r="J155" s="135"/>
      <c r="K155" s="135"/>
      <c r="L155" s="135"/>
      <c r="M155" s="168"/>
      <c r="N155" s="168"/>
      <c r="O155" s="133"/>
      <c r="Q155" s="131"/>
    </row>
    <row r="156" spans="1:17" s="130" customFormat="1" x14ac:dyDescent="0.25">
      <c r="A156" s="169"/>
      <c r="B156" s="171"/>
      <c r="D156" s="134"/>
      <c r="E156" s="134"/>
      <c r="F156" s="134"/>
      <c r="G156" s="134"/>
      <c r="H156" s="135"/>
      <c r="I156" s="135"/>
      <c r="J156" s="135"/>
      <c r="K156" s="135"/>
      <c r="L156" s="135"/>
      <c r="M156" s="168"/>
      <c r="N156" s="168"/>
      <c r="O156" s="133"/>
      <c r="Q156" s="131"/>
    </row>
    <row r="157" spans="1:17" s="130" customFormat="1" x14ac:dyDescent="0.25">
      <c r="A157" s="169"/>
      <c r="B157" s="171"/>
      <c r="D157" s="134"/>
      <c r="E157" s="134"/>
      <c r="F157" s="134"/>
      <c r="G157" s="134"/>
      <c r="H157" s="135"/>
      <c r="I157" s="135"/>
      <c r="J157" s="135"/>
      <c r="K157" s="135"/>
      <c r="L157" s="135"/>
      <c r="M157" s="168"/>
      <c r="N157" s="168"/>
      <c r="O157" s="133"/>
      <c r="Q157" s="131"/>
    </row>
    <row r="158" spans="1:17" s="130" customFormat="1" x14ac:dyDescent="0.25">
      <c r="A158" s="169"/>
      <c r="B158" s="171"/>
      <c r="D158" s="134"/>
      <c r="E158" s="134"/>
      <c r="F158" s="134"/>
      <c r="G158" s="134"/>
      <c r="H158" s="135"/>
      <c r="I158" s="135"/>
      <c r="J158" s="135"/>
      <c r="K158" s="135"/>
      <c r="L158" s="135"/>
      <c r="M158" s="168"/>
      <c r="N158" s="168"/>
      <c r="O158" s="133"/>
      <c r="Q158" s="131"/>
    </row>
    <row r="159" spans="1:17" s="130" customFormat="1" x14ac:dyDescent="0.25">
      <c r="A159" s="169"/>
      <c r="B159" s="171"/>
      <c r="D159" s="134"/>
      <c r="E159" s="134"/>
      <c r="F159" s="134"/>
      <c r="G159" s="134"/>
      <c r="H159" s="135"/>
      <c r="I159" s="135"/>
      <c r="J159" s="135"/>
      <c r="K159" s="135"/>
      <c r="L159" s="135"/>
      <c r="M159" s="168"/>
      <c r="N159" s="168"/>
      <c r="O159" s="133"/>
      <c r="Q159" s="131"/>
    </row>
    <row r="160" spans="1:17" s="130" customFormat="1" x14ac:dyDescent="0.25">
      <c r="A160" s="169"/>
      <c r="B160" s="171"/>
      <c r="D160" s="134"/>
      <c r="E160" s="134"/>
      <c r="F160" s="134"/>
      <c r="G160" s="134"/>
      <c r="H160" s="135"/>
      <c r="I160" s="135"/>
      <c r="J160" s="135"/>
      <c r="K160" s="135"/>
      <c r="L160" s="135"/>
      <c r="M160" s="168"/>
      <c r="N160" s="168"/>
      <c r="O160" s="133"/>
      <c r="Q160" s="131"/>
    </row>
    <row r="161" spans="1:17" s="130" customFormat="1" x14ac:dyDescent="0.25">
      <c r="A161" s="169"/>
      <c r="B161" s="171"/>
      <c r="D161" s="134"/>
      <c r="E161" s="134"/>
      <c r="F161" s="134"/>
      <c r="G161" s="134"/>
      <c r="H161" s="135"/>
      <c r="I161" s="135"/>
      <c r="J161" s="135"/>
      <c r="K161" s="135"/>
      <c r="L161" s="135"/>
      <c r="M161" s="168"/>
      <c r="N161" s="168"/>
      <c r="O161" s="133"/>
      <c r="Q161" s="131"/>
    </row>
    <row r="162" spans="1:17" s="130" customFormat="1" x14ac:dyDescent="0.25">
      <c r="A162" s="169"/>
      <c r="B162" s="171"/>
      <c r="D162" s="134"/>
      <c r="E162" s="134"/>
      <c r="F162" s="134"/>
      <c r="G162" s="134"/>
      <c r="H162" s="135"/>
      <c r="I162" s="135"/>
      <c r="J162" s="135"/>
      <c r="K162" s="135"/>
      <c r="L162" s="135"/>
      <c r="M162" s="168"/>
      <c r="N162" s="168"/>
      <c r="O162" s="133"/>
      <c r="Q162" s="131"/>
    </row>
    <row r="163" spans="1:17" s="130" customFormat="1" x14ac:dyDescent="0.25">
      <c r="A163" s="169"/>
      <c r="B163" s="171"/>
      <c r="D163" s="134"/>
      <c r="E163" s="134"/>
      <c r="F163" s="134"/>
      <c r="G163" s="134"/>
      <c r="H163" s="135"/>
      <c r="I163" s="135"/>
      <c r="J163" s="135"/>
      <c r="K163" s="135"/>
      <c r="L163" s="135"/>
      <c r="M163" s="168"/>
      <c r="N163" s="168"/>
      <c r="O163" s="133"/>
      <c r="Q163" s="131"/>
    </row>
    <row r="164" spans="1:17" s="130" customFormat="1" x14ac:dyDescent="0.25">
      <c r="A164" s="169"/>
      <c r="B164" s="171"/>
      <c r="D164" s="134"/>
      <c r="E164" s="134"/>
      <c r="F164" s="134"/>
      <c r="G164" s="134"/>
      <c r="H164" s="135"/>
      <c r="I164" s="135"/>
      <c r="J164" s="135"/>
      <c r="K164" s="135"/>
      <c r="L164" s="135"/>
      <c r="M164" s="168"/>
      <c r="N164" s="168"/>
      <c r="O164" s="133"/>
      <c r="Q164" s="131"/>
    </row>
    <row r="165" spans="1:17" s="130" customFormat="1" x14ac:dyDescent="0.25">
      <c r="A165" s="169"/>
      <c r="B165" s="171"/>
      <c r="D165" s="134"/>
      <c r="E165" s="134"/>
      <c r="F165" s="134"/>
      <c r="G165" s="134"/>
      <c r="H165" s="135"/>
      <c r="I165" s="135"/>
      <c r="J165" s="135"/>
      <c r="K165" s="135"/>
      <c r="L165" s="135"/>
      <c r="M165" s="168"/>
      <c r="N165" s="168"/>
      <c r="O165" s="133"/>
      <c r="Q165" s="131"/>
    </row>
    <row r="166" spans="1:17" s="130" customFormat="1" x14ac:dyDescent="0.25">
      <c r="A166" s="169"/>
      <c r="B166" s="171"/>
      <c r="D166" s="134"/>
      <c r="E166" s="134"/>
      <c r="F166" s="134"/>
      <c r="G166" s="134"/>
      <c r="H166" s="135"/>
      <c r="I166" s="135"/>
      <c r="J166" s="135"/>
      <c r="K166" s="135"/>
      <c r="L166" s="135"/>
      <c r="M166" s="168"/>
      <c r="N166" s="168"/>
      <c r="O166" s="133"/>
      <c r="Q166" s="131"/>
    </row>
    <row r="167" spans="1:17" s="130" customFormat="1" x14ac:dyDescent="0.25">
      <c r="A167" s="169"/>
      <c r="B167" s="171"/>
      <c r="D167" s="134"/>
      <c r="E167" s="134"/>
      <c r="F167" s="134"/>
      <c r="G167" s="134"/>
      <c r="H167" s="135"/>
      <c r="I167" s="135"/>
      <c r="J167" s="135"/>
      <c r="K167" s="135"/>
      <c r="L167" s="135"/>
      <c r="M167" s="168"/>
      <c r="N167" s="168"/>
      <c r="O167" s="133"/>
      <c r="Q167" s="131"/>
    </row>
    <row r="168" spans="1:17" s="130" customFormat="1" x14ac:dyDescent="0.25">
      <c r="A168" s="169"/>
      <c r="B168" s="171"/>
      <c r="D168" s="134"/>
      <c r="E168" s="134"/>
      <c r="F168" s="134"/>
      <c r="G168" s="134"/>
      <c r="H168" s="135"/>
      <c r="I168" s="135"/>
      <c r="J168" s="135"/>
      <c r="K168" s="135"/>
      <c r="L168" s="135"/>
      <c r="M168" s="168"/>
      <c r="N168" s="168"/>
      <c r="O168" s="133"/>
      <c r="Q168" s="131"/>
    </row>
    <row r="169" spans="1:17" s="130" customFormat="1" x14ac:dyDescent="0.25">
      <c r="A169" s="169"/>
      <c r="B169" s="171"/>
      <c r="D169" s="134"/>
      <c r="E169" s="134"/>
      <c r="F169" s="134"/>
      <c r="G169" s="134"/>
      <c r="H169" s="135"/>
      <c r="I169" s="135"/>
      <c r="J169" s="135"/>
      <c r="K169" s="135"/>
      <c r="L169" s="135"/>
      <c r="M169" s="168"/>
      <c r="N169" s="168"/>
      <c r="O169" s="133"/>
      <c r="Q169" s="131"/>
    </row>
    <row r="170" spans="1:17" s="130" customFormat="1" x14ac:dyDescent="0.25">
      <c r="A170" s="169"/>
      <c r="B170" s="171"/>
      <c r="D170" s="134"/>
      <c r="E170" s="134"/>
      <c r="F170" s="134"/>
      <c r="G170" s="134"/>
      <c r="H170" s="135"/>
      <c r="I170" s="135"/>
      <c r="J170" s="135"/>
      <c r="K170" s="135"/>
      <c r="L170" s="135"/>
      <c r="M170" s="168"/>
      <c r="N170" s="168"/>
      <c r="O170" s="133"/>
      <c r="Q170" s="131"/>
    </row>
    <row r="171" spans="1:17" s="130" customFormat="1" x14ac:dyDescent="0.25">
      <c r="A171" s="169"/>
      <c r="B171" s="171"/>
      <c r="D171" s="134"/>
      <c r="E171" s="134"/>
      <c r="F171" s="134"/>
      <c r="G171" s="134"/>
      <c r="H171" s="135"/>
      <c r="I171" s="135"/>
      <c r="J171" s="135"/>
      <c r="K171" s="135"/>
      <c r="L171" s="135"/>
      <c r="M171" s="168"/>
      <c r="N171" s="168"/>
      <c r="O171" s="133"/>
      <c r="Q171" s="131"/>
    </row>
    <row r="172" spans="1:17" s="130" customFormat="1" x14ac:dyDescent="0.25">
      <c r="A172" s="169"/>
      <c r="B172" s="171"/>
      <c r="D172" s="134"/>
      <c r="E172" s="134"/>
      <c r="F172" s="134"/>
      <c r="G172" s="134"/>
      <c r="H172" s="135"/>
      <c r="I172" s="135"/>
      <c r="J172" s="135"/>
      <c r="K172" s="135"/>
      <c r="L172" s="135"/>
      <c r="M172" s="168"/>
      <c r="N172" s="168"/>
      <c r="O172" s="133"/>
      <c r="Q172" s="131"/>
    </row>
    <row r="173" spans="1:17" s="130" customFormat="1" x14ac:dyDescent="0.25">
      <c r="A173" s="169"/>
      <c r="B173" s="171"/>
      <c r="D173" s="134"/>
      <c r="E173" s="134"/>
      <c r="F173" s="134"/>
      <c r="G173" s="134"/>
      <c r="H173" s="135"/>
      <c r="I173" s="135"/>
      <c r="J173" s="135"/>
      <c r="K173" s="135"/>
      <c r="L173" s="135"/>
      <c r="M173" s="168"/>
      <c r="N173" s="168"/>
      <c r="O173" s="133"/>
      <c r="Q173" s="131"/>
    </row>
    <row r="174" spans="1:17" s="130" customFormat="1" x14ac:dyDescent="0.25">
      <c r="A174" s="169"/>
      <c r="B174" s="171"/>
      <c r="D174" s="134"/>
      <c r="E174" s="134"/>
      <c r="F174" s="134"/>
      <c r="G174" s="134"/>
      <c r="H174" s="135"/>
      <c r="I174" s="135"/>
      <c r="J174" s="135"/>
      <c r="K174" s="135"/>
      <c r="L174" s="135"/>
      <c r="M174" s="168"/>
      <c r="N174" s="168"/>
      <c r="O174" s="133"/>
      <c r="Q174" s="131"/>
    </row>
    <row r="175" spans="1:17" s="130" customFormat="1" x14ac:dyDescent="0.25">
      <c r="A175" s="169"/>
      <c r="B175" s="171"/>
      <c r="D175" s="134"/>
      <c r="E175" s="134"/>
      <c r="F175" s="134"/>
      <c r="G175" s="134"/>
      <c r="H175" s="135"/>
      <c r="I175" s="135"/>
      <c r="J175" s="135"/>
      <c r="K175" s="135"/>
      <c r="L175" s="135"/>
      <c r="M175" s="168"/>
      <c r="N175" s="168"/>
      <c r="O175" s="133"/>
      <c r="Q175" s="131"/>
    </row>
    <row r="176" spans="1:17" s="130" customFormat="1" x14ac:dyDescent="0.25">
      <c r="A176" s="169"/>
      <c r="B176" s="171"/>
      <c r="D176" s="134"/>
      <c r="E176" s="134"/>
      <c r="F176" s="134"/>
      <c r="G176" s="134"/>
      <c r="H176" s="135"/>
      <c r="I176" s="135"/>
      <c r="J176" s="135"/>
      <c r="K176" s="135"/>
      <c r="L176" s="135"/>
      <c r="M176" s="168"/>
      <c r="N176" s="168"/>
      <c r="O176" s="133"/>
      <c r="Q176" s="131"/>
    </row>
    <row r="177" spans="1:17" s="130" customFormat="1" x14ac:dyDescent="0.25">
      <c r="A177" s="169"/>
      <c r="B177" s="171"/>
      <c r="D177" s="134"/>
      <c r="E177" s="134"/>
      <c r="F177" s="134"/>
      <c r="G177" s="134"/>
      <c r="H177" s="135"/>
      <c r="I177" s="135"/>
      <c r="J177" s="135"/>
      <c r="K177" s="135"/>
      <c r="L177" s="135"/>
      <c r="M177" s="168"/>
      <c r="N177" s="168"/>
      <c r="O177" s="133"/>
      <c r="Q177" s="131"/>
    </row>
    <row r="178" spans="1:17" s="130" customFormat="1" x14ac:dyDescent="0.25">
      <c r="A178" s="169"/>
      <c r="B178" s="171"/>
      <c r="D178" s="134"/>
      <c r="E178" s="134"/>
      <c r="F178" s="134"/>
      <c r="G178" s="134"/>
      <c r="H178" s="135"/>
      <c r="I178" s="135"/>
      <c r="J178" s="135"/>
      <c r="K178" s="135"/>
      <c r="L178" s="135"/>
      <c r="M178" s="168"/>
      <c r="N178" s="168"/>
      <c r="O178" s="133"/>
      <c r="Q178" s="131"/>
    </row>
    <row r="179" spans="1:17" s="130" customFormat="1" x14ac:dyDescent="0.25">
      <c r="A179" s="169"/>
      <c r="B179" s="171"/>
      <c r="D179" s="134"/>
      <c r="E179" s="134"/>
      <c r="F179" s="134"/>
      <c r="G179" s="134"/>
      <c r="H179" s="135"/>
      <c r="I179" s="135"/>
      <c r="J179" s="135"/>
      <c r="K179" s="135"/>
      <c r="L179" s="135"/>
      <c r="M179" s="168"/>
      <c r="N179" s="168"/>
      <c r="O179" s="133"/>
      <c r="Q179" s="131"/>
    </row>
    <row r="180" spans="1:17" s="130" customFormat="1" x14ac:dyDescent="0.25">
      <c r="A180" s="169"/>
      <c r="B180" s="171"/>
      <c r="D180" s="134"/>
      <c r="E180" s="134"/>
      <c r="F180" s="134"/>
      <c r="G180" s="134"/>
      <c r="H180" s="135"/>
      <c r="I180" s="135"/>
      <c r="J180" s="135"/>
      <c r="K180" s="135"/>
      <c r="L180" s="135"/>
      <c r="M180" s="168"/>
      <c r="N180" s="168"/>
      <c r="O180" s="133"/>
      <c r="Q180" s="131"/>
    </row>
    <row r="181" spans="1:17" s="130" customFormat="1" x14ac:dyDescent="0.25">
      <c r="A181" s="169"/>
      <c r="B181" s="171"/>
      <c r="D181" s="134"/>
      <c r="E181" s="134"/>
      <c r="F181" s="134"/>
      <c r="G181" s="134"/>
      <c r="H181" s="135"/>
      <c r="I181" s="135"/>
      <c r="J181" s="135"/>
      <c r="K181" s="135"/>
      <c r="L181" s="135"/>
      <c r="M181" s="168"/>
      <c r="N181" s="168"/>
      <c r="O181" s="133"/>
      <c r="Q181" s="131"/>
    </row>
    <row r="182" spans="1:17" s="130" customFormat="1" x14ac:dyDescent="0.25">
      <c r="A182" s="169"/>
      <c r="B182" s="171"/>
      <c r="D182" s="134"/>
      <c r="E182" s="134"/>
      <c r="F182" s="134"/>
      <c r="G182" s="134"/>
      <c r="H182" s="135"/>
      <c r="I182" s="135"/>
      <c r="J182" s="135"/>
      <c r="K182" s="135"/>
      <c r="L182" s="135"/>
      <c r="M182" s="168"/>
      <c r="N182" s="168"/>
      <c r="O182" s="133"/>
      <c r="Q182" s="131"/>
    </row>
    <row r="183" spans="1:17" s="130" customFormat="1" x14ac:dyDescent="0.25">
      <c r="A183" s="169"/>
      <c r="B183" s="171"/>
      <c r="D183" s="134"/>
      <c r="E183" s="134"/>
      <c r="F183" s="134"/>
      <c r="G183" s="134"/>
      <c r="H183" s="135"/>
      <c r="I183" s="135"/>
      <c r="J183" s="135"/>
      <c r="K183" s="135"/>
      <c r="L183" s="135"/>
      <c r="M183" s="168"/>
      <c r="N183" s="168"/>
      <c r="O183" s="133"/>
      <c r="Q183" s="131"/>
    </row>
    <row r="184" spans="1:17" s="130" customFormat="1" x14ac:dyDescent="0.25">
      <c r="A184" s="169"/>
      <c r="B184" s="171"/>
      <c r="D184" s="134"/>
      <c r="E184" s="134"/>
      <c r="F184" s="134"/>
      <c r="G184" s="134"/>
      <c r="H184" s="135"/>
      <c r="I184" s="135"/>
      <c r="J184" s="135"/>
      <c r="K184" s="135"/>
      <c r="L184" s="135"/>
      <c r="M184" s="168"/>
      <c r="N184" s="168"/>
      <c r="O184" s="133"/>
      <c r="Q184" s="131"/>
    </row>
    <row r="185" spans="1:17" s="130" customFormat="1" x14ac:dyDescent="0.25">
      <c r="A185" s="169"/>
      <c r="B185" s="171"/>
      <c r="D185" s="134"/>
      <c r="E185" s="134"/>
      <c r="F185" s="134"/>
      <c r="G185" s="134"/>
      <c r="H185" s="135"/>
      <c r="I185" s="135"/>
      <c r="J185" s="135"/>
      <c r="K185" s="135"/>
      <c r="L185" s="135"/>
      <c r="M185" s="168"/>
      <c r="N185" s="168"/>
      <c r="O185" s="133"/>
      <c r="Q185" s="131"/>
    </row>
    <row r="186" spans="1:17" s="130" customFormat="1" x14ac:dyDescent="0.25">
      <c r="A186" s="169"/>
      <c r="B186" s="171"/>
      <c r="D186" s="134"/>
      <c r="E186" s="134"/>
      <c r="F186" s="134"/>
      <c r="G186" s="134"/>
      <c r="H186" s="135"/>
      <c r="I186" s="135"/>
      <c r="J186" s="135"/>
      <c r="K186" s="135"/>
      <c r="L186" s="135"/>
      <c r="M186" s="168"/>
      <c r="N186" s="168"/>
      <c r="O186" s="133"/>
      <c r="Q186" s="131"/>
    </row>
    <row r="187" spans="1:17" s="130" customFormat="1" x14ac:dyDescent="0.25">
      <c r="A187" s="169"/>
      <c r="B187" s="171"/>
      <c r="D187" s="134"/>
      <c r="E187" s="134"/>
      <c r="F187" s="134"/>
      <c r="G187" s="134"/>
      <c r="H187" s="135"/>
      <c r="I187" s="135"/>
      <c r="J187" s="135"/>
      <c r="K187" s="135"/>
      <c r="L187" s="135"/>
      <c r="M187" s="168"/>
      <c r="N187" s="168"/>
      <c r="O187" s="133"/>
      <c r="Q187" s="131"/>
    </row>
    <row r="188" spans="1:17" s="130" customFormat="1" x14ac:dyDescent="0.25">
      <c r="A188" s="169"/>
      <c r="B188" s="171"/>
      <c r="D188" s="134"/>
      <c r="E188" s="134"/>
      <c r="F188" s="134"/>
      <c r="G188" s="134"/>
      <c r="H188" s="135"/>
      <c r="I188" s="135"/>
      <c r="J188" s="135"/>
      <c r="K188" s="135"/>
      <c r="L188" s="135"/>
      <c r="M188" s="168"/>
      <c r="N188" s="168"/>
      <c r="O188" s="133"/>
      <c r="Q188" s="131"/>
    </row>
    <row r="189" spans="1:17" s="130" customFormat="1" x14ac:dyDescent="0.25">
      <c r="A189" s="169"/>
      <c r="B189" s="171"/>
      <c r="D189" s="134"/>
      <c r="E189" s="134"/>
      <c r="F189" s="134"/>
      <c r="G189" s="134"/>
      <c r="H189" s="135"/>
      <c r="I189" s="135"/>
      <c r="J189" s="135"/>
      <c r="K189" s="135"/>
      <c r="L189" s="135"/>
      <c r="M189" s="168"/>
      <c r="N189" s="168"/>
      <c r="O189" s="133"/>
      <c r="Q189" s="131"/>
    </row>
    <row r="190" spans="1:17" s="130" customFormat="1" x14ac:dyDescent="0.25">
      <c r="A190" s="169"/>
      <c r="B190" s="171"/>
      <c r="D190" s="134"/>
      <c r="E190" s="134"/>
      <c r="F190" s="134"/>
      <c r="G190" s="134"/>
      <c r="H190" s="135"/>
      <c r="I190" s="135"/>
      <c r="J190" s="135"/>
      <c r="K190" s="135"/>
      <c r="L190" s="135"/>
      <c r="M190" s="168"/>
      <c r="N190" s="168"/>
      <c r="O190" s="133"/>
      <c r="Q190" s="131"/>
    </row>
    <row r="191" spans="1:17" s="130" customFormat="1" x14ac:dyDescent="0.25">
      <c r="A191" s="169"/>
      <c r="B191" s="171"/>
      <c r="D191" s="134"/>
      <c r="E191" s="134"/>
      <c r="F191" s="134"/>
      <c r="G191" s="134"/>
      <c r="H191" s="135"/>
      <c r="I191" s="135"/>
      <c r="J191" s="135"/>
      <c r="K191" s="135"/>
      <c r="L191" s="135"/>
      <c r="M191" s="168"/>
      <c r="N191" s="168"/>
      <c r="O191" s="133"/>
      <c r="Q191" s="131"/>
    </row>
    <row r="192" spans="1:17" s="130" customFormat="1" x14ac:dyDescent="0.25">
      <c r="A192" s="169"/>
      <c r="B192" s="171"/>
      <c r="D192" s="134"/>
      <c r="E192" s="134"/>
      <c r="F192" s="134"/>
      <c r="G192" s="134"/>
      <c r="H192" s="135"/>
      <c r="I192" s="135"/>
      <c r="J192" s="135"/>
      <c r="K192" s="135"/>
      <c r="L192" s="135"/>
      <c r="M192" s="168"/>
      <c r="N192" s="168"/>
      <c r="O192" s="133"/>
      <c r="Q192" s="131"/>
    </row>
    <row r="193" spans="1:17" s="130" customFormat="1" x14ac:dyDescent="0.25">
      <c r="A193" s="169"/>
      <c r="B193" s="171"/>
      <c r="D193" s="134"/>
      <c r="E193" s="134"/>
      <c r="F193" s="134"/>
      <c r="G193" s="134"/>
      <c r="H193" s="135"/>
      <c r="I193" s="135"/>
      <c r="J193" s="135"/>
      <c r="K193" s="135"/>
      <c r="L193" s="135"/>
      <c r="M193" s="168"/>
      <c r="N193" s="168"/>
      <c r="O193" s="133"/>
      <c r="Q193" s="131"/>
    </row>
    <row r="194" spans="1:17" s="130" customFormat="1" x14ac:dyDescent="0.25">
      <c r="A194" s="169"/>
      <c r="B194" s="171"/>
      <c r="D194" s="134"/>
      <c r="E194" s="134"/>
      <c r="F194" s="134"/>
      <c r="G194" s="134"/>
      <c r="H194" s="135"/>
      <c r="I194" s="135"/>
      <c r="J194" s="135"/>
      <c r="K194" s="135"/>
      <c r="L194" s="135"/>
      <c r="M194" s="168"/>
      <c r="N194" s="168"/>
      <c r="O194" s="133"/>
      <c r="Q194" s="131"/>
    </row>
    <row r="195" spans="1:17" s="130" customFormat="1" x14ac:dyDescent="0.25">
      <c r="A195" s="169"/>
      <c r="B195" s="171"/>
      <c r="D195" s="134"/>
      <c r="E195" s="134"/>
      <c r="F195" s="134"/>
      <c r="G195" s="134"/>
      <c r="H195" s="135"/>
      <c r="I195" s="135"/>
      <c r="J195" s="135"/>
      <c r="K195" s="135"/>
      <c r="L195" s="135"/>
      <c r="M195" s="168"/>
      <c r="N195" s="168"/>
      <c r="O195" s="133"/>
      <c r="Q195" s="131"/>
    </row>
    <row r="196" spans="1:17" s="130" customFormat="1" x14ac:dyDescent="0.25">
      <c r="A196" s="169"/>
      <c r="B196" s="171"/>
      <c r="D196" s="134"/>
      <c r="E196" s="134"/>
      <c r="F196" s="134"/>
      <c r="G196" s="134"/>
      <c r="H196" s="135"/>
      <c r="I196" s="135"/>
      <c r="J196" s="135"/>
      <c r="K196" s="135"/>
      <c r="L196" s="135"/>
      <c r="M196" s="168"/>
      <c r="N196" s="168"/>
      <c r="O196" s="133"/>
      <c r="Q196" s="131"/>
    </row>
    <row r="197" spans="1:17" s="130" customFormat="1" x14ac:dyDescent="0.25">
      <c r="A197" s="169"/>
      <c r="B197" s="171"/>
      <c r="D197" s="134"/>
      <c r="E197" s="134"/>
      <c r="F197" s="134"/>
      <c r="G197" s="134"/>
      <c r="H197" s="135"/>
      <c r="I197" s="135"/>
      <c r="J197" s="135"/>
      <c r="K197" s="135"/>
      <c r="L197" s="135"/>
      <c r="M197" s="168"/>
      <c r="N197" s="168"/>
      <c r="O197" s="133"/>
      <c r="Q197" s="131"/>
    </row>
    <row r="198" spans="1:17" s="130" customFormat="1" x14ac:dyDescent="0.25">
      <c r="A198" s="169"/>
      <c r="B198" s="171"/>
      <c r="D198" s="134"/>
      <c r="E198" s="134"/>
      <c r="F198" s="134"/>
      <c r="G198" s="134"/>
      <c r="H198" s="135"/>
      <c r="I198" s="135"/>
      <c r="J198" s="135"/>
      <c r="K198" s="135"/>
      <c r="L198" s="135"/>
      <c r="M198" s="168"/>
      <c r="N198" s="168"/>
      <c r="O198" s="133"/>
      <c r="Q198" s="131"/>
    </row>
    <row r="199" spans="1:17" s="130" customFormat="1" x14ac:dyDescent="0.25">
      <c r="A199" s="169"/>
      <c r="B199" s="171"/>
      <c r="D199" s="134"/>
      <c r="E199" s="134"/>
      <c r="F199" s="134"/>
      <c r="G199" s="134"/>
      <c r="H199" s="135"/>
      <c r="I199" s="135"/>
      <c r="J199" s="135"/>
      <c r="K199" s="135"/>
      <c r="L199" s="135"/>
      <c r="M199" s="168"/>
      <c r="N199" s="168"/>
      <c r="O199" s="133"/>
      <c r="Q199" s="131"/>
    </row>
    <row r="200" spans="1:17" s="130" customFormat="1" x14ac:dyDescent="0.25">
      <c r="A200" s="169"/>
      <c r="B200" s="171"/>
      <c r="D200" s="134"/>
      <c r="E200" s="134"/>
      <c r="F200" s="134"/>
      <c r="G200" s="134"/>
      <c r="H200" s="135"/>
      <c r="I200" s="135"/>
      <c r="J200" s="135"/>
      <c r="K200" s="135"/>
      <c r="L200" s="135"/>
      <c r="M200" s="168"/>
      <c r="N200" s="168"/>
      <c r="O200" s="133"/>
      <c r="Q200" s="131"/>
    </row>
    <row r="201" spans="1:17" s="130" customFormat="1" x14ac:dyDescent="0.25">
      <c r="A201" s="169"/>
      <c r="B201" s="171"/>
      <c r="D201" s="134"/>
      <c r="E201" s="134"/>
      <c r="F201" s="134"/>
      <c r="G201" s="134"/>
      <c r="H201" s="135"/>
      <c r="I201" s="135"/>
      <c r="J201" s="135"/>
      <c r="K201" s="135"/>
      <c r="L201" s="135"/>
      <c r="M201" s="168"/>
      <c r="N201" s="168"/>
      <c r="O201" s="133"/>
      <c r="Q201" s="131"/>
    </row>
    <row r="202" spans="1:17" s="130" customFormat="1" x14ac:dyDescent="0.25">
      <c r="A202" s="169"/>
      <c r="B202" s="171"/>
      <c r="D202" s="134"/>
      <c r="E202" s="134"/>
      <c r="F202" s="134"/>
      <c r="G202" s="134"/>
      <c r="H202" s="135"/>
      <c r="I202" s="135"/>
      <c r="J202" s="135"/>
      <c r="K202" s="135"/>
      <c r="L202" s="135"/>
      <c r="M202" s="168"/>
      <c r="N202" s="168"/>
      <c r="O202" s="133"/>
      <c r="Q202" s="131"/>
    </row>
    <row r="203" spans="1:17" s="130" customFormat="1" x14ac:dyDescent="0.25">
      <c r="A203" s="169"/>
      <c r="B203" s="171"/>
      <c r="D203" s="134"/>
      <c r="E203" s="134"/>
      <c r="F203" s="134"/>
      <c r="G203" s="134"/>
      <c r="H203" s="135"/>
      <c r="I203" s="135"/>
      <c r="J203" s="135"/>
      <c r="K203" s="135"/>
      <c r="L203" s="135"/>
      <c r="M203" s="168"/>
      <c r="N203" s="168"/>
      <c r="O203" s="133"/>
      <c r="Q203" s="131"/>
    </row>
    <row r="204" spans="1:17" s="130" customFormat="1" x14ac:dyDescent="0.25">
      <c r="A204" s="169"/>
      <c r="B204" s="171"/>
      <c r="D204" s="134"/>
      <c r="E204" s="134"/>
      <c r="F204" s="134"/>
      <c r="G204" s="134"/>
      <c r="H204" s="135"/>
      <c r="I204" s="135"/>
      <c r="J204" s="135"/>
      <c r="K204" s="135"/>
      <c r="L204" s="135"/>
      <c r="M204" s="168"/>
      <c r="N204" s="168"/>
      <c r="O204" s="133"/>
      <c r="Q204" s="131"/>
    </row>
    <row r="205" spans="1:17" s="130" customFormat="1" x14ac:dyDescent="0.25">
      <c r="A205" s="169"/>
      <c r="B205" s="171"/>
      <c r="D205" s="134"/>
      <c r="E205" s="134"/>
      <c r="F205" s="134"/>
      <c r="G205" s="134"/>
      <c r="H205" s="135"/>
      <c r="I205" s="135"/>
      <c r="J205" s="135"/>
      <c r="K205" s="135"/>
      <c r="L205" s="135"/>
      <c r="M205" s="168"/>
      <c r="N205" s="168"/>
      <c r="O205" s="133"/>
      <c r="Q205" s="131"/>
    </row>
    <row r="206" spans="1:17" s="130" customFormat="1" x14ac:dyDescent="0.25">
      <c r="A206" s="169"/>
      <c r="B206" s="171"/>
      <c r="D206" s="134"/>
      <c r="E206" s="134"/>
      <c r="F206" s="134"/>
      <c r="G206" s="134"/>
      <c r="H206" s="135"/>
      <c r="I206" s="135"/>
      <c r="J206" s="135"/>
      <c r="K206" s="135"/>
      <c r="L206" s="135"/>
      <c r="M206" s="168"/>
      <c r="N206" s="168"/>
      <c r="O206" s="133"/>
      <c r="Q206" s="131"/>
    </row>
    <row r="207" spans="1:17" s="130" customFormat="1" x14ac:dyDescent="0.25">
      <c r="A207" s="169"/>
      <c r="B207" s="171"/>
      <c r="D207" s="134"/>
      <c r="E207" s="134"/>
      <c r="F207" s="134"/>
      <c r="G207" s="134"/>
      <c r="H207" s="135"/>
      <c r="I207" s="135"/>
      <c r="J207" s="135"/>
      <c r="K207" s="135"/>
      <c r="L207" s="135"/>
      <c r="M207" s="168"/>
      <c r="N207" s="168"/>
      <c r="O207" s="133"/>
      <c r="Q207" s="131"/>
    </row>
    <row r="208" spans="1:17" s="130" customFormat="1" x14ac:dyDescent="0.25">
      <c r="A208" s="169"/>
      <c r="B208" s="171"/>
      <c r="D208" s="134"/>
      <c r="E208" s="134"/>
      <c r="F208" s="134"/>
      <c r="G208" s="134"/>
      <c r="H208" s="135"/>
      <c r="I208" s="135"/>
      <c r="J208" s="135"/>
      <c r="K208" s="135"/>
      <c r="L208" s="135"/>
      <c r="M208" s="168"/>
      <c r="N208" s="168"/>
      <c r="O208" s="133"/>
      <c r="Q208" s="131"/>
    </row>
    <row r="209" spans="1:17" s="130" customFormat="1" x14ac:dyDescent="0.25">
      <c r="A209" s="169"/>
      <c r="B209" s="171"/>
      <c r="D209" s="134"/>
      <c r="E209" s="134"/>
      <c r="F209" s="134"/>
      <c r="G209" s="134"/>
      <c r="H209" s="135"/>
      <c r="I209" s="135"/>
      <c r="J209" s="135"/>
      <c r="K209" s="135"/>
      <c r="L209" s="135"/>
      <c r="M209" s="168"/>
      <c r="N209" s="168"/>
      <c r="O209" s="133"/>
      <c r="Q209" s="131"/>
    </row>
    <row r="210" spans="1:17" s="130" customFormat="1" x14ac:dyDescent="0.25">
      <c r="A210" s="169"/>
      <c r="B210" s="171"/>
      <c r="D210" s="134"/>
      <c r="E210" s="134"/>
      <c r="F210" s="134"/>
      <c r="G210" s="134"/>
      <c r="H210" s="135"/>
      <c r="I210" s="135"/>
      <c r="J210" s="135"/>
      <c r="K210" s="135"/>
      <c r="L210" s="135"/>
      <c r="M210" s="168"/>
      <c r="N210" s="168"/>
      <c r="O210" s="133"/>
      <c r="Q210" s="131"/>
    </row>
    <row r="211" spans="1:17" s="130" customFormat="1" x14ac:dyDescent="0.25">
      <c r="A211" s="169"/>
      <c r="B211" s="171"/>
      <c r="D211" s="134"/>
      <c r="E211" s="134"/>
      <c r="F211" s="134"/>
      <c r="G211" s="134"/>
      <c r="H211" s="135"/>
      <c r="I211" s="135"/>
      <c r="J211" s="135"/>
      <c r="K211" s="135"/>
      <c r="L211" s="135"/>
      <c r="M211" s="168"/>
      <c r="N211" s="168"/>
      <c r="O211" s="133"/>
      <c r="Q211" s="131"/>
    </row>
    <row r="212" spans="1:17" s="130" customFormat="1" x14ac:dyDescent="0.25">
      <c r="A212" s="169"/>
      <c r="B212" s="171"/>
      <c r="D212" s="134"/>
      <c r="E212" s="134"/>
      <c r="F212" s="134"/>
      <c r="G212" s="134"/>
      <c r="H212" s="135"/>
      <c r="I212" s="135"/>
      <c r="J212" s="135"/>
      <c r="K212" s="135"/>
      <c r="L212" s="135"/>
      <c r="M212" s="168"/>
      <c r="N212" s="168"/>
      <c r="O212" s="133"/>
      <c r="Q212" s="131"/>
    </row>
    <row r="213" spans="1:17" s="130" customFormat="1" x14ac:dyDescent="0.25">
      <c r="A213" s="169"/>
      <c r="B213" s="171"/>
      <c r="D213" s="134"/>
      <c r="E213" s="134"/>
      <c r="F213" s="134"/>
      <c r="G213" s="134"/>
      <c r="H213" s="135"/>
      <c r="I213" s="135"/>
      <c r="J213" s="135"/>
      <c r="K213" s="135"/>
      <c r="L213" s="135"/>
      <c r="M213" s="168"/>
      <c r="N213" s="168"/>
      <c r="O213" s="133"/>
      <c r="Q213" s="131"/>
    </row>
    <row r="214" spans="1:17" s="130" customFormat="1" x14ac:dyDescent="0.25">
      <c r="A214" s="169"/>
      <c r="B214" s="171"/>
      <c r="D214" s="134"/>
      <c r="E214" s="134"/>
      <c r="F214" s="134"/>
      <c r="G214" s="134"/>
      <c r="H214" s="135"/>
      <c r="I214" s="135"/>
      <c r="J214" s="135"/>
      <c r="K214" s="135"/>
      <c r="L214" s="135"/>
      <c r="M214" s="168"/>
      <c r="N214" s="168"/>
      <c r="O214" s="133"/>
      <c r="Q214" s="131"/>
    </row>
    <row r="215" spans="1:17" s="130" customFormat="1" x14ac:dyDescent="0.25">
      <c r="A215" s="169"/>
      <c r="B215" s="171"/>
      <c r="D215" s="134"/>
      <c r="E215" s="134"/>
      <c r="F215" s="134"/>
      <c r="G215" s="134"/>
      <c r="H215" s="135"/>
      <c r="I215" s="135"/>
      <c r="J215" s="135"/>
      <c r="K215" s="135"/>
      <c r="L215" s="135"/>
      <c r="M215" s="168"/>
      <c r="N215" s="168"/>
      <c r="O215" s="133"/>
      <c r="Q215" s="131"/>
    </row>
    <row r="216" spans="1:17" s="130" customFormat="1" x14ac:dyDescent="0.25">
      <c r="A216" s="169"/>
      <c r="B216" s="171"/>
      <c r="D216" s="134"/>
      <c r="E216" s="134"/>
      <c r="F216" s="134"/>
      <c r="G216" s="134"/>
      <c r="H216" s="135"/>
      <c r="I216" s="135"/>
      <c r="J216" s="135"/>
      <c r="K216" s="135"/>
      <c r="L216" s="135"/>
      <c r="M216" s="168"/>
      <c r="N216" s="168"/>
      <c r="O216" s="133"/>
      <c r="Q216" s="131"/>
    </row>
    <row r="217" spans="1:17" s="130" customFormat="1" x14ac:dyDescent="0.25">
      <c r="A217" s="169"/>
      <c r="B217" s="171"/>
      <c r="D217" s="134"/>
      <c r="E217" s="134"/>
      <c r="F217" s="134"/>
      <c r="G217" s="134"/>
      <c r="H217" s="135"/>
      <c r="I217" s="135"/>
      <c r="J217" s="135"/>
      <c r="K217" s="135"/>
      <c r="L217" s="135"/>
      <c r="M217" s="168"/>
      <c r="N217" s="168"/>
      <c r="O217" s="133"/>
      <c r="Q217" s="131"/>
    </row>
    <row r="218" spans="1:17" s="130" customFormat="1" x14ac:dyDescent="0.25">
      <c r="A218" s="169"/>
      <c r="B218" s="171"/>
      <c r="D218" s="134"/>
      <c r="E218" s="134"/>
      <c r="F218" s="134"/>
      <c r="G218" s="134"/>
      <c r="H218" s="135"/>
      <c r="I218" s="135"/>
      <c r="J218" s="135"/>
      <c r="K218" s="135"/>
      <c r="L218" s="135"/>
      <c r="M218" s="168"/>
      <c r="N218" s="168"/>
      <c r="O218" s="133"/>
      <c r="Q218" s="131"/>
    </row>
    <row r="219" spans="1:17" s="130" customFormat="1" x14ac:dyDescent="0.25">
      <c r="A219" s="169"/>
      <c r="B219" s="171"/>
      <c r="D219" s="134"/>
      <c r="E219" s="134"/>
      <c r="F219" s="134"/>
      <c r="G219" s="134"/>
      <c r="H219" s="135"/>
      <c r="I219" s="135"/>
      <c r="J219" s="135"/>
      <c r="K219" s="135"/>
      <c r="L219" s="135"/>
      <c r="M219" s="168"/>
      <c r="N219" s="168"/>
      <c r="O219" s="133"/>
      <c r="Q219" s="131"/>
    </row>
    <row r="220" spans="1:17" s="130" customFormat="1" x14ac:dyDescent="0.25">
      <c r="A220" s="169"/>
      <c r="B220" s="171"/>
      <c r="D220" s="134"/>
      <c r="E220" s="134"/>
      <c r="F220" s="134"/>
      <c r="G220" s="134"/>
      <c r="H220" s="135"/>
      <c r="I220" s="135"/>
      <c r="J220" s="135"/>
      <c r="K220" s="135"/>
      <c r="L220" s="135"/>
      <c r="M220" s="168"/>
      <c r="N220" s="168"/>
      <c r="O220" s="133"/>
      <c r="Q220" s="131"/>
    </row>
    <row r="221" spans="1:17" s="130" customFormat="1" x14ac:dyDescent="0.25">
      <c r="A221" s="169"/>
      <c r="B221" s="171"/>
      <c r="D221" s="134"/>
      <c r="E221" s="134"/>
      <c r="F221" s="134"/>
      <c r="G221" s="134"/>
      <c r="H221" s="135"/>
      <c r="I221" s="135"/>
      <c r="J221" s="135"/>
      <c r="K221" s="135"/>
      <c r="L221" s="135"/>
      <c r="M221" s="168"/>
      <c r="N221" s="168"/>
      <c r="O221" s="133"/>
      <c r="Q221" s="131"/>
    </row>
    <row r="222" spans="1:17" s="130" customFormat="1" x14ac:dyDescent="0.25">
      <c r="A222" s="169"/>
      <c r="B222" s="171"/>
      <c r="D222" s="134"/>
      <c r="E222" s="134"/>
      <c r="F222" s="134"/>
      <c r="G222" s="134"/>
      <c r="H222" s="135"/>
      <c r="I222" s="135"/>
      <c r="J222" s="135"/>
      <c r="K222" s="135"/>
      <c r="L222" s="135"/>
      <c r="M222" s="168"/>
      <c r="N222" s="168"/>
      <c r="O222" s="133"/>
      <c r="Q222" s="131"/>
    </row>
    <row r="223" spans="1:17" s="130" customFormat="1" x14ac:dyDescent="0.25">
      <c r="A223" s="169"/>
      <c r="B223" s="171"/>
      <c r="D223" s="134"/>
      <c r="E223" s="134"/>
      <c r="F223" s="134"/>
      <c r="G223" s="134"/>
      <c r="H223" s="135"/>
      <c r="I223" s="135"/>
      <c r="J223" s="135"/>
      <c r="K223" s="135"/>
      <c r="L223" s="135"/>
      <c r="M223" s="168"/>
      <c r="N223" s="168"/>
      <c r="O223" s="133"/>
      <c r="Q223" s="131"/>
    </row>
    <row r="224" spans="1:17" s="130" customFormat="1" x14ac:dyDescent="0.25">
      <c r="A224" s="169"/>
      <c r="B224" s="171"/>
      <c r="D224" s="134"/>
      <c r="E224" s="134"/>
      <c r="F224" s="134"/>
      <c r="G224" s="134"/>
      <c r="H224" s="135"/>
      <c r="I224" s="135"/>
      <c r="J224" s="135"/>
      <c r="K224" s="135"/>
      <c r="L224" s="135"/>
      <c r="M224" s="168"/>
      <c r="N224" s="168"/>
      <c r="O224" s="133"/>
      <c r="Q224" s="131"/>
    </row>
    <row r="225" spans="1:17" s="130" customFormat="1" x14ac:dyDescent="0.25">
      <c r="A225" s="169"/>
      <c r="B225" s="171"/>
      <c r="D225" s="134"/>
      <c r="E225" s="134"/>
      <c r="F225" s="134"/>
      <c r="G225" s="134"/>
      <c r="H225" s="135"/>
      <c r="I225" s="135"/>
      <c r="J225" s="135"/>
      <c r="K225" s="135"/>
      <c r="L225" s="135"/>
      <c r="M225" s="168"/>
      <c r="N225" s="168"/>
      <c r="O225" s="133"/>
      <c r="Q225" s="131"/>
    </row>
    <row r="226" spans="1:17" s="130" customFormat="1" x14ac:dyDescent="0.25">
      <c r="A226" s="169"/>
      <c r="B226" s="171"/>
      <c r="D226" s="134"/>
      <c r="E226" s="134"/>
      <c r="F226" s="134"/>
      <c r="G226" s="134"/>
      <c r="H226" s="135"/>
      <c r="I226" s="135"/>
      <c r="J226" s="135"/>
      <c r="K226" s="135"/>
      <c r="L226" s="135"/>
      <c r="M226" s="168"/>
      <c r="N226" s="168"/>
      <c r="O226" s="133"/>
      <c r="Q226" s="131"/>
    </row>
    <row r="227" spans="1:17" s="130" customFormat="1" x14ac:dyDescent="0.25">
      <c r="A227" s="169"/>
      <c r="B227" s="171"/>
      <c r="D227" s="134"/>
      <c r="E227" s="134"/>
      <c r="F227" s="134"/>
      <c r="G227" s="134"/>
      <c r="H227" s="135"/>
      <c r="I227" s="135"/>
      <c r="J227" s="135"/>
      <c r="K227" s="135"/>
      <c r="L227" s="135"/>
      <c r="M227" s="168"/>
      <c r="N227" s="168"/>
      <c r="O227" s="133"/>
      <c r="Q227" s="131"/>
    </row>
    <row r="228" spans="1:17" s="130" customFormat="1" x14ac:dyDescent="0.25">
      <c r="A228" s="169"/>
      <c r="B228" s="171"/>
      <c r="D228" s="134"/>
      <c r="E228" s="134"/>
      <c r="F228" s="134"/>
      <c r="G228" s="134"/>
      <c r="H228" s="135"/>
      <c r="I228" s="135"/>
      <c r="J228" s="135"/>
      <c r="K228" s="135"/>
      <c r="L228" s="135"/>
      <c r="M228" s="168"/>
      <c r="N228" s="168"/>
      <c r="O228" s="133"/>
      <c r="Q228" s="131"/>
    </row>
    <row r="229" spans="1:17" s="130" customFormat="1" x14ac:dyDescent="0.25">
      <c r="A229" s="169"/>
      <c r="B229" s="171"/>
      <c r="D229" s="134"/>
      <c r="E229" s="134"/>
      <c r="F229" s="134"/>
      <c r="G229" s="134"/>
      <c r="H229" s="135"/>
      <c r="I229" s="135"/>
      <c r="J229" s="135"/>
      <c r="K229" s="135"/>
      <c r="L229" s="135"/>
      <c r="M229" s="168"/>
      <c r="N229" s="168"/>
      <c r="O229" s="133"/>
      <c r="Q229" s="131"/>
    </row>
    <row r="230" spans="1:17" s="130" customFormat="1" x14ac:dyDescent="0.25">
      <c r="A230" s="169"/>
      <c r="B230" s="171"/>
      <c r="D230" s="134"/>
      <c r="E230" s="134"/>
      <c r="F230" s="134"/>
      <c r="G230" s="134"/>
      <c r="H230" s="135"/>
      <c r="I230" s="135"/>
      <c r="J230" s="135"/>
      <c r="K230" s="135"/>
      <c r="L230" s="135"/>
      <c r="M230" s="168"/>
      <c r="N230" s="168"/>
      <c r="O230" s="133"/>
      <c r="Q230" s="131"/>
    </row>
    <row r="231" spans="1:17" s="130" customFormat="1" x14ac:dyDescent="0.25">
      <c r="A231" s="169"/>
      <c r="B231" s="171"/>
      <c r="D231" s="134"/>
      <c r="E231" s="134"/>
      <c r="F231" s="134"/>
      <c r="G231" s="134"/>
      <c r="H231" s="135"/>
      <c r="I231" s="135"/>
      <c r="J231" s="135"/>
      <c r="K231" s="135"/>
      <c r="L231" s="135"/>
      <c r="M231" s="168"/>
      <c r="N231" s="168"/>
      <c r="O231" s="133"/>
      <c r="Q231" s="131"/>
    </row>
    <row r="232" spans="1:17" s="130" customFormat="1" x14ac:dyDescent="0.25">
      <c r="A232" s="169"/>
      <c r="B232" s="171"/>
      <c r="D232" s="134"/>
      <c r="E232" s="134"/>
      <c r="F232" s="134"/>
      <c r="G232" s="134"/>
      <c r="H232" s="135"/>
      <c r="I232" s="135"/>
      <c r="J232" s="135"/>
      <c r="K232" s="135"/>
      <c r="L232" s="135"/>
      <c r="M232" s="168"/>
      <c r="N232" s="168"/>
      <c r="O232" s="133"/>
      <c r="Q232" s="131"/>
    </row>
    <row r="233" spans="1:17" s="130" customFormat="1" x14ac:dyDescent="0.25">
      <c r="A233" s="169"/>
      <c r="B233" s="171"/>
      <c r="D233" s="134"/>
      <c r="E233" s="134"/>
      <c r="F233" s="134"/>
      <c r="G233" s="134"/>
      <c r="H233" s="135"/>
      <c r="I233" s="135"/>
      <c r="J233" s="135"/>
      <c r="K233" s="135"/>
      <c r="L233" s="135"/>
      <c r="M233" s="168"/>
      <c r="N233" s="168"/>
      <c r="O233" s="133"/>
      <c r="Q233" s="131"/>
    </row>
    <row r="234" spans="1:17" s="130" customFormat="1" x14ac:dyDescent="0.25">
      <c r="A234" s="169"/>
      <c r="B234" s="171"/>
      <c r="D234" s="134"/>
      <c r="E234" s="134"/>
      <c r="F234" s="134"/>
      <c r="G234" s="134"/>
      <c r="H234" s="135"/>
      <c r="I234" s="135"/>
      <c r="J234" s="135"/>
      <c r="K234" s="135"/>
      <c r="L234" s="135"/>
      <c r="M234" s="168"/>
      <c r="N234" s="168"/>
      <c r="O234" s="133"/>
      <c r="Q234" s="131"/>
    </row>
    <row r="235" spans="1:17" s="130" customFormat="1" x14ac:dyDescent="0.25">
      <c r="A235" s="169"/>
      <c r="B235" s="171"/>
      <c r="D235" s="134"/>
      <c r="E235" s="134"/>
      <c r="F235" s="134"/>
      <c r="G235" s="134"/>
      <c r="H235" s="135"/>
      <c r="I235" s="135"/>
      <c r="J235" s="135"/>
      <c r="K235" s="135"/>
      <c r="L235" s="135"/>
      <c r="M235" s="168"/>
      <c r="N235" s="168"/>
      <c r="O235" s="133"/>
      <c r="Q235" s="131"/>
    </row>
    <row r="236" spans="1:17" s="130" customFormat="1" x14ac:dyDescent="0.25">
      <c r="A236" s="169"/>
      <c r="B236" s="171"/>
      <c r="D236" s="134"/>
      <c r="E236" s="134"/>
      <c r="F236" s="134"/>
      <c r="G236" s="134"/>
      <c r="H236" s="135"/>
      <c r="I236" s="135"/>
      <c r="J236" s="135"/>
      <c r="K236" s="135"/>
      <c r="L236" s="135"/>
      <c r="M236" s="168"/>
      <c r="N236" s="168"/>
      <c r="O236" s="133"/>
      <c r="Q236" s="131"/>
    </row>
    <row r="237" spans="1:17" s="130" customFormat="1" x14ac:dyDescent="0.25">
      <c r="A237" s="169"/>
      <c r="B237" s="171"/>
      <c r="D237" s="134"/>
      <c r="E237" s="134"/>
      <c r="F237" s="134"/>
      <c r="G237" s="134"/>
      <c r="H237" s="135"/>
      <c r="I237" s="135"/>
      <c r="J237" s="135"/>
      <c r="K237" s="135"/>
      <c r="L237" s="135"/>
      <c r="M237" s="168"/>
      <c r="N237" s="168"/>
      <c r="O237" s="133"/>
      <c r="Q237" s="131"/>
    </row>
    <row r="238" spans="1:17" s="130" customFormat="1" x14ac:dyDescent="0.25">
      <c r="A238" s="169"/>
      <c r="B238" s="171"/>
      <c r="D238" s="134"/>
      <c r="E238" s="134"/>
      <c r="F238" s="134"/>
      <c r="G238" s="134"/>
      <c r="H238" s="135"/>
      <c r="I238" s="135"/>
      <c r="J238" s="135"/>
      <c r="K238" s="135"/>
      <c r="L238" s="135"/>
      <c r="M238" s="168"/>
      <c r="N238" s="168"/>
      <c r="O238" s="133"/>
      <c r="Q238" s="131"/>
    </row>
    <row r="239" spans="1:17" s="130" customFormat="1" x14ac:dyDescent="0.25">
      <c r="A239" s="169"/>
      <c r="B239" s="171"/>
      <c r="D239" s="134"/>
      <c r="E239" s="134"/>
      <c r="F239" s="134"/>
      <c r="G239" s="134"/>
      <c r="H239" s="135"/>
      <c r="I239" s="135"/>
      <c r="J239" s="135"/>
      <c r="K239" s="135"/>
      <c r="L239" s="135"/>
      <c r="M239" s="168"/>
      <c r="N239" s="168"/>
      <c r="O239" s="133"/>
      <c r="Q239" s="131"/>
    </row>
    <row r="240" spans="1:17" s="130" customFormat="1" x14ac:dyDescent="0.25">
      <c r="A240" s="169"/>
      <c r="B240" s="171"/>
      <c r="D240" s="134"/>
      <c r="E240" s="134"/>
      <c r="F240" s="134"/>
      <c r="G240" s="134"/>
      <c r="H240" s="135"/>
      <c r="I240" s="135"/>
      <c r="J240" s="135"/>
      <c r="K240" s="135"/>
      <c r="L240" s="135"/>
      <c r="M240" s="168"/>
      <c r="N240" s="168"/>
      <c r="O240" s="133"/>
      <c r="Q240" s="131"/>
    </row>
    <row r="241" spans="1:17" s="130" customFormat="1" x14ac:dyDescent="0.25">
      <c r="A241" s="169"/>
      <c r="B241" s="171"/>
      <c r="D241" s="134"/>
      <c r="E241" s="134"/>
      <c r="F241" s="134"/>
      <c r="G241" s="134"/>
      <c r="H241" s="135"/>
      <c r="I241" s="135"/>
      <c r="J241" s="135"/>
      <c r="K241" s="135"/>
      <c r="L241" s="135"/>
      <c r="M241" s="168"/>
      <c r="N241" s="168"/>
      <c r="O241" s="133"/>
      <c r="Q241" s="131"/>
    </row>
    <row r="242" spans="1:17" s="130" customFormat="1" x14ac:dyDescent="0.25">
      <c r="A242" s="169"/>
      <c r="B242" s="171"/>
      <c r="D242" s="134"/>
      <c r="E242" s="134"/>
      <c r="F242" s="134"/>
      <c r="G242" s="134"/>
      <c r="H242" s="135"/>
      <c r="I242" s="135"/>
      <c r="J242" s="135"/>
      <c r="K242" s="135"/>
      <c r="L242" s="135"/>
      <c r="M242" s="168"/>
      <c r="N242" s="168"/>
      <c r="O242" s="133"/>
      <c r="Q242" s="131"/>
    </row>
    <row r="243" spans="1:17" s="130" customFormat="1" x14ac:dyDescent="0.25">
      <c r="A243" s="169"/>
      <c r="B243" s="171"/>
      <c r="D243" s="134"/>
      <c r="E243" s="134"/>
      <c r="F243" s="134"/>
      <c r="G243" s="134"/>
      <c r="H243" s="135"/>
      <c r="I243" s="135"/>
      <c r="J243" s="135"/>
      <c r="K243" s="135"/>
      <c r="L243" s="135"/>
      <c r="M243" s="168"/>
      <c r="N243" s="168"/>
      <c r="O243" s="133"/>
      <c r="Q243" s="131"/>
    </row>
    <row r="244" spans="1:17" s="130" customFormat="1" x14ac:dyDescent="0.25">
      <c r="A244" s="169"/>
      <c r="B244" s="171"/>
      <c r="D244" s="134"/>
      <c r="E244" s="134"/>
      <c r="F244" s="134"/>
      <c r="G244" s="134"/>
      <c r="H244" s="135"/>
      <c r="I244" s="135"/>
      <c r="J244" s="135"/>
      <c r="K244" s="135"/>
      <c r="L244" s="135"/>
      <c r="M244" s="168"/>
      <c r="N244" s="168"/>
      <c r="O244" s="133"/>
      <c r="Q244" s="131"/>
    </row>
    <row r="245" spans="1:17" s="130" customFormat="1" x14ac:dyDescent="0.25">
      <c r="A245" s="169"/>
      <c r="B245" s="171"/>
      <c r="D245" s="134"/>
      <c r="E245" s="134"/>
      <c r="F245" s="134"/>
      <c r="G245" s="134"/>
      <c r="H245" s="135"/>
      <c r="I245" s="135"/>
      <c r="J245" s="135"/>
      <c r="K245" s="135"/>
      <c r="L245" s="135"/>
      <c r="M245" s="168"/>
      <c r="N245" s="168"/>
      <c r="O245" s="133"/>
      <c r="Q245" s="131"/>
    </row>
    <row r="246" spans="1:17" s="130" customFormat="1" x14ac:dyDescent="0.25">
      <c r="A246" s="169"/>
      <c r="B246" s="171"/>
      <c r="D246" s="134"/>
      <c r="E246" s="134"/>
      <c r="F246" s="134"/>
      <c r="G246" s="134"/>
      <c r="H246" s="135"/>
      <c r="I246" s="135"/>
      <c r="J246" s="135"/>
      <c r="K246" s="135"/>
      <c r="L246" s="135"/>
      <c r="M246" s="168"/>
      <c r="N246" s="168"/>
      <c r="O246" s="133"/>
      <c r="Q246" s="131"/>
    </row>
    <row r="247" spans="1:17" s="130" customFormat="1" x14ac:dyDescent="0.25">
      <c r="A247" s="169"/>
      <c r="B247" s="171"/>
      <c r="D247" s="134"/>
      <c r="E247" s="134"/>
      <c r="F247" s="134"/>
      <c r="G247" s="134"/>
      <c r="H247" s="135"/>
      <c r="I247" s="135"/>
      <c r="J247" s="135"/>
      <c r="K247" s="135"/>
      <c r="L247" s="135"/>
      <c r="M247" s="168"/>
      <c r="N247" s="168"/>
      <c r="O247" s="133"/>
      <c r="Q247" s="131"/>
    </row>
    <row r="248" spans="1:17" s="130" customFormat="1" x14ac:dyDescent="0.25">
      <c r="A248" s="169"/>
      <c r="B248" s="171"/>
      <c r="D248" s="134"/>
      <c r="E248" s="134"/>
      <c r="F248" s="134"/>
      <c r="G248" s="134"/>
      <c r="H248" s="135"/>
      <c r="I248" s="135"/>
      <c r="J248" s="135"/>
      <c r="K248" s="135"/>
      <c r="L248" s="135"/>
      <c r="M248" s="168"/>
      <c r="N248" s="168"/>
      <c r="O248" s="133"/>
      <c r="Q248" s="131"/>
    </row>
    <row r="249" spans="1:17" s="130" customFormat="1" x14ac:dyDescent="0.25">
      <c r="A249" s="169"/>
      <c r="B249" s="171"/>
      <c r="D249" s="134"/>
      <c r="E249" s="134"/>
      <c r="F249" s="134"/>
      <c r="G249" s="134"/>
      <c r="H249" s="135"/>
      <c r="I249" s="135"/>
      <c r="J249" s="135"/>
      <c r="K249" s="135"/>
      <c r="L249" s="135"/>
      <c r="M249" s="168"/>
      <c r="N249" s="168"/>
      <c r="O249" s="133"/>
      <c r="Q249" s="131"/>
    </row>
    <row r="250" spans="1:17" s="130" customFormat="1" x14ac:dyDescent="0.25">
      <c r="A250" s="169"/>
      <c r="B250" s="171"/>
      <c r="D250" s="134"/>
      <c r="E250" s="134"/>
      <c r="F250" s="134"/>
      <c r="G250" s="134"/>
      <c r="H250" s="135"/>
      <c r="I250" s="135"/>
      <c r="J250" s="135"/>
      <c r="K250" s="135"/>
      <c r="L250" s="135"/>
      <c r="M250" s="168"/>
      <c r="N250" s="168"/>
      <c r="O250" s="133"/>
      <c r="Q250" s="131"/>
    </row>
    <row r="251" spans="1:17" s="130" customFormat="1" x14ac:dyDescent="0.25">
      <c r="A251" s="169"/>
      <c r="B251" s="171"/>
      <c r="D251" s="134"/>
      <c r="E251" s="134"/>
      <c r="F251" s="134"/>
      <c r="G251" s="134"/>
      <c r="H251" s="135"/>
      <c r="I251" s="135"/>
      <c r="J251" s="135"/>
      <c r="K251" s="135"/>
      <c r="L251" s="135"/>
      <c r="M251" s="168"/>
      <c r="N251" s="168"/>
      <c r="O251" s="133"/>
      <c r="Q251" s="131"/>
    </row>
    <row r="252" spans="1:17" s="130" customFormat="1" x14ac:dyDescent="0.25">
      <c r="A252" s="169"/>
      <c r="B252" s="171"/>
      <c r="D252" s="134"/>
      <c r="E252" s="134"/>
      <c r="F252" s="134"/>
      <c r="G252" s="134"/>
      <c r="H252" s="135"/>
      <c r="I252" s="135"/>
      <c r="J252" s="135"/>
      <c r="K252" s="135"/>
      <c r="L252" s="135"/>
      <c r="M252" s="168"/>
      <c r="N252" s="168"/>
      <c r="O252" s="133"/>
      <c r="Q252" s="131"/>
    </row>
    <row r="253" spans="1:17" s="130" customFormat="1" x14ac:dyDescent="0.25">
      <c r="A253" s="169"/>
      <c r="B253" s="171"/>
      <c r="D253" s="134"/>
      <c r="E253" s="134"/>
      <c r="F253" s="134"/>
      <c r="G253" s="134"/>
      <c r="H253" s="135"/>
      <c r="I253" s="135"/>
      <c r="J253" s="135"/>
      <c r="K253" s="135"/>
      <c r="L253" s="135"/>
      <c r="M253" s="168"/>
      <c r="N253" s="168"/>
      <c r="O253" s="133"/>
      <c r="Q253" s="131"/>
    </row>
    <row r="254" spans="1:17" s="130" customFormat="1" x14ac:dyDescent="0.25">
      <c r="A254" s="169"/>
      <c r="B254" s="171"/>
      <c r="D254" s="134"/>
      <c r="E254" s="134"/>
      <c r="F254" s="134"/>
      <c r="G254" s="134"/>
      <c r="H254" s="135"/>
      <c r="I254" s="135"/>
      <c r="J254" s="135"/>
      <c r="K254" s="135"/>
      <c r="L254" s="135"/>
      <c r="M254" s="168"/>
      <c r="N254" s="168"/>
      <c r="O254" s="133"/>
      <c r="Q254" s="131"/>
    </row>
    <row r="255" spans="1:17" s="130" customFormat="1" x14ac:dyDescent="0.25">
      <c r="A255" s="169"/>
      <c r="B255" s="171"/>
      <c r="D255" s="134"/>
      <c r="E255" s="134"/>
      <c r="F255" s="134"/>
      <c r="G255" s="134"/>
      <c r="H255" s="135"/>
      <c r="I255" s="135"/>
      <c r="J255" s="135"/>
      <c r="K255" s="135"/>
      <c r="L255" s="135"/>
      <c r="M255" s="168"/>
      <c r="N255" s="168"/>
      <c r="O255" s="133"/>
      <c r="Q255" s="131"/>
    </row>
    <row r="256" spans="1:17" s="130" customFormat="1" x14ac:dyDescent="0.25">
      <c r="A256" s="169"/>
      <c r="B256" s="171"/>
      <c r="D256" s="134"/>
      <c r="E256" s="134"/>
      <c r="F256" s="134"/>
      <c r="G256" s="134"/>
      <c r="H256" s="135"/>
      <c r="I256" s="135"/>
      <c r="J256" s="135"/>
      <c r="K256" s="135"/>
      <c r="L256" s="135"/>
      <c r="M256" s="168"/>
      <c r="N256" s="168"/>
      <c r="O256" s="133"/>
      <c r="Q256" s="131"/>
    </row>
    <row r="257" spans="1:17" s="130" customFormat="1" x14ac:dyDescent="0.25">
      <c r="A257" s="169"/>
      <c r="B257" s="171"/>
      <c r="D257" s="134"/>
      <c r="E257" s="134"/>
      <c r="F257" s="134"/>
      <c r="G257" s="134"/>
      <c r="H257" s="135"/>
      <c r="I257" s="135"/>
      <c r="J257" s="135"/>
      <c r="K257" s="135"/>
      <c r="L257" s="135"/>
      <c r="M257" s="168"/>
      <c r="N257" s="168"/>
      <c r="O257" s="133"/>
      <c r="Q257" s="131"/>
    </row>
    <row r="258" spans="1:17" s="130" customFormat="1" x14ac:dyDescent="0.25">
      <c r="A258" s="169"/>
      <c r="B258" s="171"/>
      <c r="D258" s="134"/>
      <c r="E258" s="134"/>
      <c r="F258" s="134"/>
      <c r="G258" s="134"/>
      <c r="H258" s="135"/>
      <c r="I258" s="135"/>
      <c r="J258" s="135"/>
      <c r="K258" s="135"/>
      <c r="L258" s="135"/>
      <c r="M258" s="168"/>
      <c r="N258" s="168"/>
      <c r="O258" s="133"/>
      <c r="Q258" s="131"/>
    </row>
    <row r="259" spans="1:17" s="130" customFormat="1" x14ac:dyDescent="0.25">
      <c r="A259" s="169"/>
      <c r="B259" s="171"/>
      <c r="D259" s="134"/>
      <c r="E259" s="134"/>
      <c r="F259" s="134"/>
      <c r="G259" s="134"/>
      <c r="H259" s="135"/>
      <c r="I259" s="135"/>
      <c r="J259" s="135"/>
      <c r="K259" s="135"/>
      <c r="L259" s="135"/>
      <c r="M259" s="168"/>
      <c r="N259" s="168"/>
      <c r="O259" s="133"/>
      <c r="Q259" s="131"/>
    </row>
    <row r="260" spans="1:17" s="130" customFormat="1" x14ac:dyDescent="0.25">
      <c r="A260" s="169"/>
      <c r="B260" s="171"/>
      <c r="D260" s="134"/>
      <c r="E260" s="134"/>
      <c r="F260" s="134"/>
      <c r="G260" s="134"/>
      <c r="H260" s="135"/>
      <c r="I260" s="135"/>
      <c r="J260" s="135"/>
      <c r="K260" s="135"/>
      <c r="L260" s="135"/>
      <c r="M260" s="168"/>
      <c r="N260" s="168"/>
      <c r="O260" s="133"/>
      <c r="Q260" s="131"/>
    </row>
    <row r="261" spans="1:17" s="130" customFormat="1" x14ac:dyDescent="0.25">
      <c r="A261" s="169"/>
      <c r="B261" s="171"/>
      <c r="D261" s="134"/>
      <c r="E261" s="134"/>
      <c r="F261" s="134"/>
      <c r="G261" s="134"/>
      <c r="H261" s="135"/>
      <c r="I261" s="135"/>
      <c r="J261" s="135"/>
      <c r="K261" s="135"/>
      <c r="L261" s="135"/>
      <c r="M261" s="168"/>
      <c r="N261" s="168"/>
      <c r="O261" s="133"/>
      <c r="Q261" s="131"/>
    </row>
    <row r="262" spans="1:17" s="130" customFormat="1" x14ac:dyDescent="0.25">
      <c r="A262" s="169"/>
      <c r="B262" s="171"/>
      <c r="D262" s="134"/>
      <c r="E262" s="134"/>
      <c r="F262" s="134"/>
      <c r="G262" s="134"/>
      <c r="H262" s="135"/>
      <c r="I262" s="135"/>
      <c r="J262" s="135"/>
      <c r="K262" s="135"/>
      <c r="L262" s="135"/>
      <c r="M262" s="168"/>
      <c r="N262" s="168"/>
      <c r="O262" s="133"/>
      <c r="Q262" s="131"/>
    </row>
    <row r="263" spans="1:17" s="130" customFormat="1" x14ac:dyDescent="0.25">
      <c r="A263" s="169"/>
      <c r="B263" s="171"/>
      <c r="D263" s="134"/>
      <c r="E263" s="134"/>
      <c r="F263" s="134"/>
      <c r="G263" s="134"/>
      <c r="H263" s="135"/>
      <c r="I263" s="135"/>
      <c r="J263" s="135"/>
      <c r="K263" s="135"/>
      <c r="L263" s="135"/>
      <c r="M263" s="168"/>
      <c r="N263" s="168"/>
      <c r="O263" s="133"/>
      <c r="Q263" s="131"/>
    </row>
    <row r="264" spans="1:17" s="130" customFormat="1" x14ac:dyDescent="0.25">
      <c r="A264" s="169"/>
      <c r="B264" s="171"/>
      <c r="D264" s="134"/>
      <c r="E264" s="134"/>
      <c r="F264" s="134"/>
      <c r="G264" s="134"/>
      <c r="H264" s="135"/>
      <c r="I264" s="135"/>
      <c r="J264" s="135"/>
      <c r="K264" s="135"/>
      <c r="L264" s="135"/>
      <c r="M264" s="168"/>
      <c r="N264" s="168"/>
      <c r="O264" s="133"/>
      <c r="Q264" s="131"/>
    </row>
    <row r="265" spans="1:17" s="130" customFormat="1" x14ac:dyDescent="0.25">
      <c r="A265" s="169"/>
      <c r="B265" s="171"/>
      <c r="D265" s="134"/>
      <c r="E265" s="134"/>
      <c r="F265" s="134"/>
      <c r="G265" s="134"/>
      <c r="H265" s="135"/>
      <c r="I265" s="135"/>
      <c r="J265" s="135"/>
      <c r="K265" s="135"/>
      <c r="L265" s="135"/>
      <c r="M265" s="168"/>
      <c r="N265" s="168"/>
      <c r="O265" s="133"/>
      <c r="Q265" s="131"/>
    </row>
    <row r="266" spans="1:17" s="130" customFormat="1" x14ac:dyDescent="0.25">
      <c r="A266" s="169"/>
      <c r="B266" s="171"/>
      <c r="D266" s="134"/>
      <c r="E266" s="134"/>
      <c r="F266" s="134"/>
      <c r="G266" s="134"/>
      <c r="H266" s="135"/>
      <c r="I266" s="135"/>
      <c r="J266" s="135"/>
      <c r="K266" s="135"/>
      <c r="L266" s="135"/>
      <c r="M266" s="168"/>
      <c r="N266" s="168"/>
      <c r="O266" s="133"/>
      <c r="Q266" s="131"/>
    </row>
    <row r="267" spans="1:17" s="130" customFormat="1" x14ac:dyDescent="0.25">
      <c r="A267" s="169"/>
      <c r="B267" s="171"/>
      <c r="D267" s="134"/>
      <c r="E267" s="134"/>
      <c r="F267" s="134"/>
      <c r="G267" s="134"/>
      <c r="H267" s="135"/>
      <c r="I267" s="135"/>
      <c r="J267" s="135"/>
      <c r="K267" s="135"/>
      <c r="L267" s="135"/>
      <c r="M267" s="168"/>
      <c r="N267" s="168"/>
      <c r="O267" s="133"/>
      <c r="Q267" s="131"/>
    </row>
    <row r="268" spans="1:17" s="130" customFormat="1" x14ac:dyDescent="0.25">
      <c r="A268" s="169"/>
      <c r="B268" s="171"/>
      <c r="D268" s="134"/>
      <c r="E268" s="134"/>
      <c r="F268" s="134"/>
      <c r="G268" s="134"/>
      <c r="H268" s="135"/>
      <c r="I268" s="135"/>
      <c r="J268" s="135"/>
      <c r="K268" s="135"/>
      <c r="L268" s="135"/>
      <c r="M268" s="168"/>
      <c r="N268" s="168"/>
      <c r="O268" s="133"/>
      <c r="Q268" s="131"/>
    </row>
    <row r="269" spans="1:17" s="130" customFormat="1" x14ac:dyDescent="0.25">
      <c r="A269" s="169"/>
      <c r="B269" s="171"/>
      <c r="D269" s="134"/>
      <c r="E269" s="134"/>
      <c r="F269" s="134"/>
      <c r="G269" s="134"/>
      <c r="H269" s="135"/>
      <c r="I269" s="135"/>
      <c r="J269" s="135"/>
      <c r="K269" s="135"/>
      <c r="L269" s="135"/>
      <c r="M269" s="168"/>
      <c r="N269" s="168"/>
      <c r="O269" s="133"/>
      <c r="Q269" s="131"/>
    </row>
    <row r="270" spans="1:17" s="130" customFormat="1" x14ac:dyDescent="0.25">
      <c r="A270" s="169"/>
      <c r="B270" s="171"/>
      <c r="D270" s="134"/>
      <c r="E270" s="134"/>
      <c r="F270" s="134"/>
      <c r="G270" s="134"/>
      <c r="H270" s="135"/>
      <c r="I270" s="135"/>
      <c r="J270" s="135"/>
      <c r="K270" s="135"/>
      <c r="L270" s="135"/>
      <c r="M270" s="168"/>
      <c r="N270" s="168"/>
      <c r="O270" s="133"/>
      <c r="Q270" s="131"/>
    </row>
    <row r="271" spans="1:17" s="130" customFormat="1" x14ac:dyDescent="0.25">
      <c r="A271" s="169"/>
      <c r="B271" s="171"/>
      <c r="D271" s="134"/>
      <c r="E271" s="134"/>
      <c r="F271" s="134"/>
      <c r="G271" s="134"/>
      <c r="H271" s="135"/>
      <c r="I271" s="135"/>
      <c r="J271" s="135"/>
      <c r="K271" s="135"/>
      <c r="L271" s="135"/>
      <c r="M271" s="168"/>
      <c r="N271" s="168"/>
      <c r="O271" s="133"/>
      <c r="Q271" s="131"/>
    </row>
    <row r="272" spans="1:17" s="130" customFormat="1" x14ac:dyDescent="0.25">
      <c r="A272" s="169"/>
      <c r="B272" s="171"/>
      <c r="D272" s="134"/>
      <c r="E272" s="134"/>
      <c r="F272" s="134"/>
      <c r="G272" s="134"/>
      <c r="H272" s="135"/>
      <c r="I272" s="135"/>
      <c r="J272" s="135"/>
      <c r="K272" s="135"/>
      <c r="L272" s="135"/>
      <c r="M272" s="168"/>
      <c r="N272" s="168"/>
      <c r="O272" s="133"/>
      <c r="Q272" s="131"/>
    </row>
    <row r="273" spans="1:17" s="130" customFormat="1" x14ac:dyDescent="0.25">
      <c r="A273" s="169"/>
      <c r="B273" s="171"/>
      <c r="D273" s="134"/>
      <c r="E273" s="134"/>
      <c r="F273" s="134"/>
      <c r="G273" s="134"/>
      <c r="H273" s="135"/>
      <c r="I273" s="135"/>
      <c r="J273" s="135"/>
      <c r="K273" s="135"/>
      <c r="L273" s="135"/>
      <c r="M273" s="168"/>
      <c r="N273" s="168"/>
      <c r="O273" s="133"/>
      <c r="Q273" s="131"/>
    </row>
    <row r="274" spans="1:17" s="130" customFormat="1" x14ac:dyDescent="0.25">
      <c r="A274" s="169"/>
      <c r="B274" s="171"/>
      <c r="D274" s="134"/>
      <c r="E274" s="134"/>
      <c r="F274" s="134"/>
      <c r="G274" s="134"/>
      <c r="H274" s="135"/>
      <c r="I274" s="135"/>
      <c r="J274" s="135"/>
      <c r="K274" s="135"/>
      <c r="L274" s="135"/>
      <c r="M274" s="168"/>
      <c r="N274" s="168"/>
      <c r="O274" s="133"/>
      <c r="Q274" s="131"/>
    </row>
    <row r="275" spans="1:17" s="130" customFormat="1" x14ac:dyDescent="0.25">
      <c r="A275" s="169"/>
      <c r="B275" s="171"/>
      <c r="D275" s="134"/>
      <c r="E275" s="134"/>
      <c r="F275" s="134"/>
      <c r="G275" s="134"/>
      <c r="H275" s="135"/>
      <c r="I275" s="135"/>
      <c r="J275" s="135"/>
      <c r="K275" s="135"/>
      <c r="L275" s="135"/>
      <c r="M275" s="168"/>
      <c r="N275" s="168"/>
      <c r="O275" s="133"/>
      <c r="Q275" s="131"/>
    </row>
    <row r="276" spans="1:17" s="130" customFormat="1" x14ac:dyDescent="0.25">
      <c r="A276" s="169"/>
      <c r="B276" s="171"/>
      <c r="D276" s="134"/>
      <c r="E276" s="134"/>
      <c r="F276" s="134"/>
      <c r="G276" s="134"/>
      <c r="H276" s="135"/>
      <c r="I276" s="135"/>
      <c r="J276" s="135"/>
      <c r="K276" s="135"/>
      <c r="L276" s="135"/>
      <c r="M276" s="168"/>
      <c r="N276" s="168"/>
      <c r="O276" s="133"/>
      <c r="Q276" s="131"/>
    </row>
  </sheetData>
  <sheetProtection password="FB6B" sheet="1" formatCells="0" formatColumns="0" formatRows="0"/>
  <mergeCells count="123">
    <mergeCell ref="B83:C83"/>
    <mergeCell ref="B84:C84"/>
    <mergeCell ref="B85:C85"/>
    <mergeCell ref="B92:D92"/>
    <mergeCell ref="B93:D93"/>
    <mergeCell ref="B94:D94"/>
    <mergeCell ref="B96:D96"/>
    <mergeCell ref="B97:D97"/>
    <mergeCell ref="B95:D95"/>
    <mergeCell ref="B86:C86"/>
    <mergeCell ref="B87:C87"/>
    <mergeCell ref="A88:D88"/>
    <mergeCell ref="B89:D89"/>
    <mergeCell ref="B91:D91"/>
    <mergeCell ref="B90:D90"/>
    <mergeCell ref="A112:Q116"/>
    <mergeCell ref="A117:Q121"/>
    <mergeCell ref="A122:Q126"/>
    <mergeCell ref="A102:Q106"/>
    <mergeCell ref="A107:Q111"/>
    <mergeCell ref="B98:D98"/>
    <mergeCell ref="B99:D99"/>
    <mergeCell ref="B100:D100"/>
    <mergeCell ref="B101:D101"/>
    <mergeCell ref="B80:C80"/>
    <mergeCell ref="B81:C81"/>
    <mergeCell ref="B82:C82"/>
    <mergeCell ref="B77:C77"/>
    <mergeCell ref="B78:C78"/>
    <mergeCell ref="B79:C79"/>
    <mergeCell ref="B74:C74"/>
    <mergeCell ref="B75:C75"/>
    <mergeCell ref="B76:C76"/>
    <mergeCell ref="B71:C71"/>
    <mergeCell ref="B72:C72"/>
    <mergeCell ref="B73:C73"/>
    <mergeCell ref="B68:C68"/>
    <mergeCell ref="B69:C69"/>
    <mergeCell ref="B70:C70"/>
    <mergeCell ref="B65:C65"/>
    <mergeCell ref="B66:C66"/>
    <mergeCell ref="B67:C67"/>
    <mergeCell ref="B62:C62"/>
    <mergeCell ref="B63:C63"/>
    <mergeCell ref="B64:C64"/>
    <mergeCell ref="B59:C59"/>
    <mergeCell ref="B60:C60"/>
    <mergeCell ref="B61:C61"/>
    <mergeCell ref="B56:C56"/>
    <mergeCell ref="B57:C57"/>
    <mergeCell ref="B58:C58"/>
    <mergeCell ref="B54:C54"/>
    <mergeCell ref="B55:C55"/>
    <mergeCell ref="B50:C50"/>
    <mergeCell ref="B51:C51"/>
    <mergeCell ref="B52:C52"/>
    <mergeCell ref="B53:C53"/>
    <mergeCell ref="F31:G31"/>
    <mergeCell ref="H31:I31"/>
    <mergeCell ref="J31:K31"/>
    <mergeCell ref="L31:M31"/>
    <mergeCell ref="N31:O31"/>
    <mergeCell ref="B47:C47"/>
    <mergeCell ref="B48:C48"/>
    <mergeCell ref="B49:C49"/>
    <mergeCell ref="B44:C44"/>
    <mergeCell ref="B45:C45"/>
    <mergeCell ref="B46:C46"/>
    <mergeCell ref="B36:C36"/>
    <mergeCell ref="B40:C40"/>
    <mergeCell ref="B41:C41"/>
    <mergeCell ref="B43:C43"/>
    <mergeCell ref="B37:C37"/>
    <mergeCell ref="B38:C38"/>
    <mergeCell ref="B39:C39"/>
    <mergeCell ref="B42:C42"/>
    <mergeCell ref="B34:C34"/>
    <mergeCell ref="B35:C35"/>
    <mergeCell ref="B33:C33"/>
    <mergeCell ref="B27:E27"/>
    <mergeCell ref="B28:E28"/>
    <mergeCell ref="B29:E29"/>
    <mergeCell ref="A31:A32"/>
    <mergeCell ref="B31:C32"/>
    <mergeCell ref="D31:E31"/>
    <mergeCell ref="B26:E26"/>
    <mergeCell ref="A4:C4"/>
    <mergeCell ref="B5:E5"/>
    <mergeCell ref="B6:E6"/>
    <mergeCell ref="B7:E7"/>
    <mergeCell ref="B8:E8"/>
    <mergeCell ref="B9:E9"/>
    <mergeCell ref="B10:E10"/>
    <mergeCell ref="B12:E12"/>
    <mergeCell ref="B13:E13"/>
    <mergeCell ref="B19:E19"/>
    <mergeCell ref="B11:E11"/>
    <mergeCell ref="A23:C23"/>
    <mergeCell ref="B24:E24"/>
    <mergeCell ref="B22:E22"/>
    <mergeCell ref="B25:E25"/>
    <mergeCell ref="B14:E14"/>
    <mergeCell ref="B15:E15"/>
    <mergeCell ref="B1:C1"/>
    <mergeCell ref="G1:H1"/>
    <mergeCell ref="A3:Q3"/>
    <mergeCell ref="D1:F1"/>
    <mergeCell ref="L6:L13"/>
    <mergeCell ref="J11:K11"/>
    <mergeCell ref="J12:J14"/>
    <mergeCell ref="M23:Q23"/>
    <mergeCell ref="J5:K5"/>
    <mergeCell ref="M15:M19"/>
    <mergeCell ref="B17:E17"/>
    <mergeCell ref="B16:E16"/>
    <mergeCell ref="B18:E18"/>
    <mergeCell ref="J7:K7"/>
    <mergeCell ref="J8:K8"/>
    <mergeCell ref="J9:K9"/>
    <mergeCell ref="J10:K10"/>
    <mergeCell ref="B20:E20"/>
    <mergeCell ref="B21:E21"/>
    <mergeCell ref="K12:K14"/>
  </mergeCells>
  <conditionalFormatting sqref="J15">
    <cfRule type="containsText" dxfId="37" priority="6" operator="containsText" text="TRUE">
      <formula>NOT(ISERROR(SEARCH("TRUE",J15)))</formula>
    </cfRule>
  </conditionalFormatting>
  <conditionalFormatting sqref="J15">
    <cfRule type="containsText" dxfId="36" priority="4" operator="containsText" text="FALSE">
      <formula>NOT(ISERROR(SEARCH("FALSE",J15)))</formula>
    </cfRule>
  </conditionalFormatting>
  <conditionalFormatting sqref="J15">
    <cfRule type="containsText" dxfId="35" priority="5" operator="containsText" text="Увага">
      <formula>NOT(ISERROR(SEARCH("Увага",J15)))</formula>
    </cfRule>
  </conditionalFormatting>
  <conditionalFormatting sqref="K15">
    <cfRule type="containsText" dxfId="34" priority="3" operator="containsText" text="TRUE">
      <formula>NOT(ISERROR(SEARCH("TRUE",K15)))</formula>
    </cfRule>
  </conditionalFormatting>
  <conditionalFormatting sqref="K15">
    <cfRule type="containsText" dxfId="33" priority="1" operator="containsText" text="FALSE">
      <formula>NOT(ISERROR(SEARCH("FALSE",K15)))</formula>
    </cfRule>
  </conditionalFormatting>
  <conditionalFormatting sqref="K15">
    <cfRule type="containsText" dxfId="32" priority="2" operator="containsText" text="Увага">
      <formula>NOT(ISERROR(SEARCH("Увага",K15)))</formula>
    </cfRule>
  </conditionalFormatting>
  <pageMargins left="0" right="7.874015748031496E-2" top="0.19685039370078741" bottom="0" header="0.39370078740157483" footer="0"/>
  <pageSetup paperSize="9" scale="40" orientation="landscape" r:id="rId1"/>
  <headerFooter alignWithMargins="0">
    <oddFooter>&amp;RСтор.  &amp;P</oddFooter>
  </headerFooter>
  <rowBreaks count="2" manualBreakCount="2">
    <brk id="48" max="14" man="1"/>
    <brk id="10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Аркуш6">
    <tabColor rgb="FF92D050"/>
  </sheetPr>
  <dimension ref="A1:V153"/>
  <sheetViews>
    <sheetView showGridLines="0" view="pageBreakPreview" zoomScale="60" zoomScaleNormal="60" zoomScalePageLayoutView="50" workbookViewId="0">
      <selection activeCell="G16" sqref="G16"/>
    </sheetView>
  </sheetViews>
  <sheetFormatPr defaultRowHeight="18.75" x14ac:dyDescent="0.25"/>
  <cols>
    <col min="1" max="1" width="8.42578125" style="26" customWidth="1"/>
    <col min="2" max="2" width="7.85546875" style="24" customWidth="1"/>
    <col min="3" max="3" width="17.5703125" style="1" customWidth="1"/>
    <col min="4" max="4" width="53.42578125" style="2" customWidth="1"/>
    <col min="5" max="5" width="18.42578125" style="101" customWidth="1"/>
    <col min="6" max="6" width="17.5703125" style="101" customWidth="1"/>
    <col min="7" max="7" width="24" style="101" customWidth="1"/>
    <col min="8" max="8" width="26.140625" style="4" customWidth="1"/>
    <col min="9" max="9" width="21.5703125" style="4" customWidth="1"/>
    <col min="10" max="10" width="21.140625" style="4" customWidth="1"/>
    <col min="11" max="11" width="22.42578125" style="4" customWidth="1"/>
    <col min="12" max="12" width="26.85546875" style="16" customWidth="1"/>
    <col min="13" max="13" width="22.85546875" style="14" customWidth="1"/>
    <col min="14" max="14" width="20.5703125" style="2" customWidth="1"/>
    <col min="15" max="15" width="23.85546875" style="68" customWidth="1"/>
    <col min="16" max="17" width="23.5703125" style="68" customWidth="1"/>
    <col min="18" max="22" width="23.5703125" style="2" customWidth="1"/>
    <col min="23" max="245" width="8.85546875" style="2"/>
    <col min="246" max="246" width="78.5703125" style="2" customWidth="1"/>
    <col min="247" max="249" width="19.42578125" style="2" customWidth="1"/>
    <col min="250" max="501" width="8.85546875" style="2"/>
    <col min="502" max="502" width="78.5703125" style="2" customWidth="1"/>
    <col min="503" max="505" width="19.42578125" style="2" customWidth="1"/>
    <col min="506" max="757" width="8.85546875" style="2"/>
    <col min="758" max="758" width="78.5703125" style="2" customWidth="1"/>
    <col min="759" max="761" width="19.42578125" style="2" customWidth="1"/>
    <col min="762" max="1013" width="8.85546875" style="2"/>
    <col min="1014" max="1014" width="78.5703125" style="2" customWidth="1"/>
    <col min="1015" max="1017" width="19.42578125" style="2" customWidth="1"/>
    <col min="1018" max="1269" width="8.85546875" style="2"/>
    <col min="1270" max="1270" width="78.5703125" style="2" customWidth="1"/>
    <col min="1271" max="1273" width="19.42578125" style="2" customWidth="1"/>
    <col min="1274" max="1525" width="8.85546875" style="2"/>
    <col min="1526" max="1526" width="78.5703125" style="2" customWidth="1"/>
    <col min="1527" max="1529" width="19.42578125" style="2" customWidth="1"/>
    <col min="1530" max="1781" width="8.85546875" style="2"/>
    <col min="1782" max="1782" width="78.5703125" style="2" customWidth="1"/>
    <col min="1783" max="1785" width="19.42578125" style="2" customWidth="1"/>
    <col min="1786" max="2037" width="8.85546875" style="2"/>
    <col min="2038" max="2038" width="78.5703125" style="2" customWidth="1"/>
    <col min="2039" max="2041" width="19.42578125" style="2" customWidth="1"/>
    <col min="2042" max="2293" width="8.85546875" style="2"/>
    <col min="2294" max="2294" width="78.5703125" style="2" customWidth="1"/>
    <col min="2295" max="2297" width="19.42578125" style="2" customWidth="1"/>
    <col min="2298" max="2549" width="8.85546875" style="2"/>
    <col min="2550" max="2550" width="78.5703125" style="2" customWidth="1"/>
    <col min="2551" max="2553" width="19.42578125" style="2" customWidth="1"/>
    <col min="2554" max="2805" width="8.85546875" style="2"/>
    <col min="2806" max="2806" width="78.5703125" style="2" customWidth="1"/>
    <col min="2807" max="2809" width="19.42578125" style="2" customWidth="1"/>
    <col min="2810" max="3061" width="8.85546875" style="2"/>
    <col min="3062" max="3062" width="78.5703125" style="2" customWidth="1"/>
    <col min="3063" max="3065" width="19.42578125" style="2" customWidth="1"/>
    <col min="3066" max="3317" width="8.85546875" style="2"/>
    <col min="3318" max="3318" width="78.5703125" style="2" customWidth="1"/>
    <col min="3319" max="3321" width="19.42578125" style="2" customWidth="1"/>
    <col min="3322" max="3573" width="8.85546875" style="2"/>
    <col min="3574" max="3574" width="78.5703125" style="2" customWidth="1"/>
    <col min="3575" max="3577" width="19.42578125" style="2" customWidth="1"/>
    <col min="3578" max="3829" width="8.85546875" style="2"/>
    <col min="3830" max="3830" width="78.5703125" style="2" customWidth="1"/>
    <col min="3831" max="3833" width="19.42578125" style="2" customWidth="1"/>
    <col min="3834" max="4085" width="8.85546875" style="2"/>
    <col min="4086" max="4086" width="78.5703125" style="2" customWidth="1"/>
    <col min="4087" max="4089" width="19.42578125" style="2" customWidth="1"/>
    <col min="4090" max="4341" width="8.85546875" style="2"/>
    <col min="4342" max="4342" width="78.5703125" style="2" customWidth="1"/>
    <col min="4343" max="4345" width="19.42578125" style="2" customWidth="1"/>
    <col min="4346" max="4597" width="8.85546875" style="2"/>
    <col min="4598" max="4598" width="78.5703125" style="2" customWidth="1"/>
    <col min="4599" max="4601" width="19.42578125" style="2" customWidth="1"/>
    <col min="4602" max="4853" width="8.85546875" style="2"/>
    <col min="4854" max="4854" width="78.5703125" style="2" customWidth="1"/>
    <col min="4855" max="4857" width="19.42578125" style="2" customWidth="1"/>
    <col min="4858" max="5109" width="8.85546875" style="2"/>
    <col min="5110" max="5110" width="78.5703125" style="2" customWidth="1"/>
    <col min="5111" max="5113" width="19.42578125" style="2" customWidth="1"/>
    <col min="5114" max="5365" width="8.85546875" style="2"/>
    <col min="5366" max="5366" width="78.5703125" style="2" customWidth="1"/>
    <col min="5367" max="5369" width="19.42578125" style="2" customWidth="1"/>
    <col min="5370" max="5621" width="8.85546875" style="2"/>
    <col min="5622" max="5622" width="78.5703125" style="2" customWidth="1"/>
    <col min="5623" max="5625" width="19.42578125" style="2" customWidth="1"/>
    <col min="5626" max="5877" width="8.85546875" style="2"/>
    <col min="5878" max="5878" width="78.5703125" style="2" customWidth="1"/>
    <col min="5879" max="5881" width="19.42578125" style="2" customWidth="1"/>
    <col min="5882" max="6133" width="8.85546875" style="2"/>
    <col min="6134" max="6134" width="78.5703125" style="2" customWidth="1"/>
    <col min="6135" max="6137" width="19.42578125" style="2" customWidth="1"/>
    <col min="6138" max="6389" width="8.85546875" style="2"/>
    <col min="6390" max="6390" width="78.5703125" style="2" customWidth="1"/>
    <col min="6391" max="6393" width="19.42578125" style="2" customWidth="1"/>
    <col min="6394" max="6645" width="8.85546875" style="2"/>
    <col min="6646" max="6646" width="78.5703125" style="2" customWidth="1"/>
    <col min="6647" max="6649" width="19.42578125" style="2" customWidth="1"/>
    <col min="6650" max="6901" width="8.85546875" style="2"/>
    <col min="6902" max="6902" width="78.5703125" style="2" customWidth="1"/>
    <col min="6903" max="6905" width="19.42578125" style="2" customWidth="1"/>
    <col min="6906" max="7157" width="8.85546875" style="2"/>
    <col min="7158" max="7158" width="78.5703125" style="2" customWidth="1"/>
    <col min="7159" max="7161" width="19.42578125" style="2" customWidth="1"/>
    <col min="7162" max="7413" width="8.85546875" style="2"/>
    <col min="7414" max="7414" width="78.5703125" style="2" customWidth="1"/>
    <col min="7415" max="7417" width="19.42578125" style="2" customWidth="1"/>
    <col min="7418" max="7669" width="8.85546875" style="2"/>
    <col min="7670" max="7670" width="78.5703125" style="2" customWidth="1"/>
    <col min="7671" max="7673" width="19.42578125" style="2" customWidth="1"/>
    <col min="7674" max="7925" width="8.85546875" style="2"/>
    <col min="7926" max="7926" width="78.5703125" style="2" customWidth="1"/>
    <col min="7927" max="7929" width="19.42578125" style="2" customWidth="1"/>
    <col min="7930" max="8181" width="8.85546875" style="2"/>
    <col min="8182" max="8182" width="78.5703125" style="2" customWidth="1"/>
    <col min="8183" max="8185" width="19.42578125" style="2" customWidth="1"/>
    <col min="8186" max="8437" width="8.85546875" style="2"/>
    <col min="8438" max="8438" width="78.5703125" style="2" customWidth="1"/>
    <col min="8439" max="8441" width="19.42578125" style="2" customWidth="1"/>
    <col min="8442" max="8693" width="8.85546875" style="2"/>
    <col min="8694" max="8694" width="78.5703125" style="2" customWidth="1"/>
    <col min="8695" max="8697" width="19.42578125" style="2" customWidth="1"/>
    <col min="8698" max="8949" width="8.85546875" style="2"/>
    <col min="8950" max="8950" width="78.5703125" style="2" customWidth="1"/>
    <col min="8951" max="8953" width="19.42578125" style="2" customWidth="1"/>
    <col min="8954" max="9205" width="8.85546875" style="2"/>
    <col min="9206" max="9206" width="78.5703125" style="2" customWidth="1"/>
    <col min="9207" max="9209" width="19.42578125" style="2" customWidth="1"/>
    <col min="9210" max="9461" width="8.85546875" style="2"/>
    <col min="9462" max="9462" width="78.5703125" style="2" customWidth="1"/>
    <col min="9463" max="9465" width="19.42578125" style="2" customWidth="1"/>
    <col min="9466" max="9717" width="8.85546875" style="2"/>
    <col min="9718" max="9718" width="78.5703125" style="2" customWidth="1"/>
    <col min="9719" max="9721" width="19.42578125" style="2" customWidth="1"/>
    <col min="9722" max="9973" width="8.85546875" style="2"/>
    <col min="9974" max="9974" width="78.5703125" style="2" customWidth="1"/>
    <col min="9975" max="9977" width="19.42578125" style="2" customWidth="1"/>
    <col min="9978" max="10229" width="8.85546875" style="2"/>
    <col min="10230" max="10230" width="78.5703125" style="2" customWidth="1"/>
    <col min="10231" max="10233" width="19.42578125" style="2" customWidth="1"/>
    <col min="10234" max="10485" width="8.85546875" style="2"/>
    <col min="10486" max="10486" width="78.5703125" style="2" customWidth="1"/>
    <col min="10487" max="10489" width="19.42578125" style="2" customWidth="1"/>
    <col min="10490" max="10741" width="8.85546875" style="2"/>
    <col min="10742" max="10742" width="78.5703125" style="2" customWidth="1"/>
    <col min="10743" max="10745" width="19.42578125" style="2" customWidth="1"/>
    <col min="10746" max="10997" width="8.85546875" style="2"/>
    <col min="10998" max="10998" width="78.5703125" style="2" customWidth="1"/>
    <col min="10999" max="11001" width="19.42578125" style="2" customWidth="1"/>
    <col min="11002" max="11253" width="8.85546875" style="2"/>
    <col min="11254" max="11254" width="78.5703125" style="2" customWidth="1"/>
    <col min="11255" max="11257" width="19.42578125" style="2" customWidth="1"/>
    <col min="11258" max="11509" width="8.85546875" style="2"/>
    <col min="11510" max="11510" width="78.5703125" style="2" customWidth="1"/>
    <col min="11511" max="11513" width="19.42578125" style="2" customWidth="1"/>
    <col min="11514" max="11765" width="8.85546875" style="2"/>
    <col min="11766" max="11766" width="78.5703125" style="2" customWidth="1"/>
    <col min="11767" max="11769" width="19.42578125" style="2" customWidth="1"/>
    <col min="11770" max="12021" width="8.85546875" style="2"/>
    <col min="12022" max="12022" width="78.5703125" style="2" customWidth="1"/>
    <col min="12023" max="12025" width="19.42578125" style="2" customWidth="1"/>
    <col min="12026" max="12277" width="8.85546875" style="2"/>
    <col min="12278" max="12278" width="78.5703125" style="2" customWidth="1"/>
    <col min="12279" max="12281" width="19.42578125" style="2" customWidth="1"/>
    <col min="12282" max="12533" width="8.85546875" style="2"/>
    <col min="12534" max="12534" width="78.5703125" style="2" customWidth="1"/>
    <col min="12535" max="12537" width="19.42578125" style="2" customWidth="1"/>
    <col min="12538" max="12789" width="8.85546875" style="2"/>
    <col min="12790" max="12790" width="78.5703125" style="2" customWidth="1"/>
    <col min="12791" max="12793" width="19.42578125" style="2" customWidth="1"/>
    <col min="12794" max="13045" width="8.85546875" style="2"/>
    <col min="13046" max="13046" width="78.5703125" style="2" customWidth="1"/>
    <col min="13047" max="13049" width="19.42578125" style="2" customWidth="1"/>
    <col min="13050" max="13301" width="8.85546875" style="2"/>
    <col min="13302" max="13302" width="78.5703125" style="2" customWidth="1"/>
    <col min="13303" max="13305" width="19.42578125" style="2" customWidth="1"/>
    <col min="13306" max="13557" width="8.85546875" style="2"/>
    <col min="13558" max="13558" width="78.5703125" style="2" customWidth="1"/>
    <col min="13559" max="13561" width="19.42578125" style="2" customWidth="1"/>
    <col min="13562" max="13813" width="8.85546875" style="2"/>
    <col min="13814" max="13814" width="78.5703125" style="2" customWidth="1"/>
    <col min="13815" max="13817" width="19.42578125" style="2" customWidth="1"/>
    <col min="13818" max="14069" width="8.85546875" style="2"/>
    <col min="14070" max="14070" width="78.5703125" style="2" customWidth="1"/>
    <col min="14071" max="14073" width="19.42578125" style="2" customWidth="1"/>
    <col min="14074" max="14325" width="8.85546875" style="2"/>
    <col min="14326" max="14326" width="78.5703125" style="2" customWidth="1"/>
    <col min="14327" max="14329" width="19.42578125" style="2" customWidth="1"/>
    <col min="14330" max="14581" width="8.85546875" style="2"/>
    <col min="14582" max="14582" width="78.5703125" style="2" customWidth="1"/>
    <col min="14583" max="14585" width="19.42578125" style="2" customWidth="1"/>
    <col min="14586" max="14837" width="8.85546875" style="2"/>
    <col min="14838" max="14838" width="78.5703125" style="2" customWidth="1"/>
    <col min="14839" max="14841" width="19.42578125" style="2" customWidth="1"/>
    <col min="14842" max="15093" width="8.85546875" style="2"/>
    <col min="15094" max="15094" width="78.5703125" style="2" customWidth="1"/>
    <col min="15095" max="15097" width="19.42578125" style="2" customWidth="1"/>
    <col min="15098" max="15349" width="8.85546875" style="2"/>
    <col min="15350" max="15350" width="78.5703125" style="2" customWidth="1"/>
    <col min="15351" max="15353" width="19.42578125" style="2" customWidth="1"/>
    <col min="15354" max="15605" width="8.85546875" style="2"/>
    <col min="15606" max="15606" width="78.5703125" style="2" customWidth="1"/>
    <col min="15607" max="15609" width="19.42578125" style="2" customWidth="1"/>
    <col min="15610" max="15861" width="8.85546875" style="2"/>
    <col min="15862" max="15862" width="78.5703125" style="2" customWidth="1"/>
    <col min="15863" max="15865" width="19.42578125" style="2" customWidth="1"/>
    <col min="15866" max="16117" width="8.85546875" style="2"/>
    <col min="16118" max="16118" width="78.5703125" style="2" customWidth="1"/>
    <col min="16119" max="16121" width="19.42578125" style="2" customWidth="1"/>
    <col min="16122" max="16378" width="8.85546875" style="2"/>
    <col min="16379" max="16379" width="9.140625" style="2" customWidth="1"/>
    <col min="16380" max="16381" width="8.85546875" style="2"/>
    <col min="16382" max="16384" width="9.140625" style="2" customWidth="1"/>
  </cols>
  <sheetData>
    <row r="1" spans="1:22" ht="21.6" customHeight="1" x14ac:dyDescent="0.25">
      <c r="A1" s="1086" t="s">
        <v>0</v>
      </c>
      <c r="B1" s="1086"/>
      <c r="C1" s="1086"/>
      <c r="D1" s="108">
        <f>'Звіт 1,2,3'!D1:H1</f>
        <v>37650571</v>
      </c>
      <c r="E1" s="97" t="s">
        <v>1</v>
      </c>
      <c r="F1" s="102">
        <f>'Звіт 1,2,3'!H1</f>
        <v>150</v>
      </c>
      <c r="G1" s="2"/>
      <c r="H1" s="2"/>
      <c r="I1" s="2"/>
      <c r="J1" s="110"/>
      <c r="K1" s="110"/>
      <c r="L1" s="110"/>
      <c r="M1" s="1300" t="s">
        <v>391</v>
      </c>
      <c r="N1" s="1300"/>
      <c r="O1" s="112"/>
      <c r="P1" s="2"/>
      <c r="Q1" s="2"/>
      <c r="T1" s="68"/>
      <c r="U1" s="68"/>
      <c r="V1" s="68"/>
    </row>
    <row r="2" spans="1:22" ht="18" customHeight="1" x14ac:dyDescent="0.25">
      <c r="B2" s="1"/>
      <c r="C2" s="2"/>
      <c r="D2" s="101"/>
      <c r="G2" s="4"/>
      <c r="J2" s="11"/>
      <c r="K2" s="2"/>
      <c r="L2" s="2"/>
      <c r="M2" s="1301" t="s">
        <v>346</v>
      </c>
      <c r="N2" s="1301"/>
      <c r="O2" s="113"/>
      <c r="P2" s="2"/>
      <c r="Q2" s="2"/>
      <c r="T2" s="68"/>
      <c r="U2" s="68"/>
      <c r="V2" s="68"/>
    </row>
    <row r="3" spans="1:22" ht="18.600000000000001" customHeight="1" x14ac:dyDescent="0.25">
      <c r="A3" s="1085" t="str">
        <f>'Звіт   4,5,6'!A3</f>
        <v>ЗВІТ ПРО ДОХОДИ ТА ВИТРАТИ за 1 півріччя 2020 року</v>
      </c>
      <c r="B3" s="1085"/>
      <c r="C3" s="1085"/>
      <c r="D3" s="1085"/>
      <c r="E3" s="1085"/>
      <c r="F3" s="1085"/>
      <c r="G3" s="1085"/>
      <c r="H3" s="1085"/>
      <c r="I3" s="1085"/>
      <c r="J3" s="1085"/>
      <c r="K3" s="1085"/>
      <c r="L3" s="1085"/>
      <c r="M3" s="1085"/>
      <c r="N3" s="1085"/>
      <c r="O3" s="20"/>
      <c r="P3" s="20"/>
      <c r="Q3" s="20"/>
      <c r="R3" s="20"/>
      <c r="S3" s="68"/>
      <c r="T3" s="68"/>
      <c r="U3" s="68"/>
      <c r="V3" s="68"/>
    </row>
    <row r="4" spans="1:22" s="29" customFormat="1" ht="28.35" customHeight="1" thickBot="1" x14ac:dyDescent="0.35">
      <c r="A4" s="125" t="s">
        <v>836</v>
      </c>
      <c r="C4" s="53"/>
      <c r="I4" s="52"/>
      <c r="N4" s="118" t="s">
        <v>305</v>
      </c>
      <c r="O4" s="19"/>
      <c r="P4" s="19"/>
      <c r="Q4" s="19"/>
    </row>
    <row r="5" spans="1:22" s="10" customFormat="1" ht="52.35" customHeight="1" x14ac:dyDescent="0.25">
      <c r="A5" s="1294" t="str">
        <f>'Звіт   4,5,6'!A5</f>
        <v>№ з/п</v>
      </c>
      <c r="B5" s="1295"/>
      <c r="C5" s="1302" t="s">
        <v>7</v>
      </c>
      <c r="D5" s="1302"/>
      <c r="E5" s="1304" t="s">
        <v>316</v>
      </c>
      <c r="F5" s="1304"/>
      <c r="G5" s="988" t="s">
        <v>317</v>
      </c>
      <c r="H5" s="988"/>
      <c r="I5" s="988" t="s">
        <v>306</v>
      </c>
      <c r="J5" s="988"/>
      <c r="K5" s="988" t="str">
        <f>'Звіт   4,5,6'!L31</f>
        <v>Цільові витрати  (виитрати за рахунок бюджетів усіх рівнів та благодійної допомоги )</v>
      </c>
      <c r="L5" s="988"/>
      <c r="M5" s="988" t="s">
        <v>570</v>
      </c>
      <c r="N5" s="1305"/>
      <c r="O5" s="70"/>
      <c r="P5" s="71"/>
      <c r="Q5" s="18"/>
    </row>
    <row r="6" spans="1:22" s="10" customFormat="1" ht="32.1" customHeight="1" x14ac:dyDescent="0.25">
      <c r="A6" s="1296"/>
      <c r="B6" s="1222"/>
      <c r="C6" s="1303"/>
      <c r="D6" s="1303"/>
      <c r="E6" s="59" t="s">
        <v>89</v>
      </c>
      <c r="F6" s="59" t="s">
        <v>8</v>
      </c>
      <c r="G6" s="59" t="s">
        <v>89</v>
      </c>
      <c r="H6" s="59" t="s">
        <v>8</v>
      </c>
      <c r="I6" s="59" t="s">
        <v>89</v>
      </c>
      <c r="J6" s="59" t="s">
        <v>8</v>
      </c>
      <c r="K6" s="59" t="s">
        <v>89</v>
      </c>
      <c r="L6" s="59" t="s">
        <v>8</v>
      </c>
      <c r="M6" s="59" t="s">
        <v>89</v>
      </c>
      <c r="N6" s="116" t="s">
        <v>8</v>
      </c>
      <c r="O6" s="70"/>
      <c r="P6" s="71"/>
      <c r="Q6" s="18"/>
    </row>
    <row r="7" spans="1:22" s="28" customFormat="1" ht="23.45" customHeight="1" x14ac:dyDescent="0.25">
      <c r="A7" s="1296">
        <v>1</v>
      </c>
      <c r="B7" s="1222"/>
      <c r="C7" s="1222">
        <v>2</v>
      </c>
      <c r="D7" s="1222"/>
      <c r="E7" s="66">
        <v>3</v>
      </c>
      <c r="F7" s="66">
        <v>4</v>
      </c>
      <c r="G7" s="67">
        <v>5</v>
      </c>
      <c r="H7" s="66">
        <v>6</v>
      </c>
      <c r="I7" s="66">
        <v>7</v>
      </c>
      <c r="J7" s="67">
        <v>8</v>
      </c>
      <c r="K7" s="66">
        <v>9</v>
      </c>
      <c r="L7" s="66">
        <v>10</v>
      </c>
      <c r="M7" s="66">
        <v>11</v>
      </c>
      <c r="N7" s="117">
        <v>12</v>
      </c>
      <c r="O7" s="72"/>
      <c r="P7" s="73"/>
      <c r="Q7" s="69"/>
    </row>
    <row r="8" spans="1:22" s="10" customFormat="1" ht="23.1" customHeight="1" x14ac:dyDescent="0.3">
      <c r="A8" s="1276" t="s">
        <v>169</v>
      </c>
      <c r="B8" s="1277"/>
      <c r="C8" s="1213" t="s">
        <v>159</v>
      </c>
      <c r="D8" s="1213"/>
      <c r="E8" s="60">
        <f t="shared" ref="E8:N8" si="0">SUM(E9,E10,E11,E12,E13,E14)</f>
        <v>2835336.25</v>
      </c>
      <c r="F8" s="60">
        <f>SUM(F9,F10,F11,F12,F13,F14)</f>
        <v>3017058.1799999997</v>
      </c>
      <c r="G8" s="60">
        <f t="shared" si="0"/>
        <v>1696413.19</v>
      </c>
      <c r="H8" s="60">
        <f t="shared" si="0"/>
        <v>1809093.26</v>
      </c>
      <c r="I8" s="60">
        <f t="shared" si="0"/>
        <v>576819.06000000006</v>
      </c>
      <c r="J8" s="60">
        <f t="shared" si="0"/>
        <v>583241.91999999993</v>
      </c>
      <c r="K8" s="60">
        <f t="shared" si="0"/>
        <v>562104</v>
      </c>
      <c r="L8" s="397">
        <f t="shared" si="0"/>
        <v>624723</v>
      </c>
      <c r="M8" s="60">
        <f t="shared" si="0"/>
        <v>0</v>
      </c>
      <c r="N8" s="92">
        <f t="shared" si="0"/>
        <v>0</v>
      </c>
      <c r="O8" s="18"/>
      <c r="P8" s="18"/>
      <c r="Q8" s="18"/>
    </row>
    <row r="9" spans="1:22" s="10" customFormat="1" ht="23.1" customHeight="1" x14ac:dyDescent="0.3">
      <c r="A9" s="1276" t="s">
        <v>166</v>
      </c>
      <c r="B9" s="1277"/>
      <c r="C9" s="1209" t="s">
        <v>35</v>
      </c>
      <c r="D9" s="1209"/>
      <c r="E9" s="60">
        <f>SUM(G9,I9,K9,M9)</f>
        <v>127780.63</v>
      </c>
      <c r="F9" s="60">
        <f>SUM(H9,J9,L9,N9)</f>
        <v>120003.89</v>
      </c>
      <c r="G9" s="222">
        <v>0</v>
      </c>
      <c r="H9" s="222">
        <v>0</v>
      </c>
      <c r="I9" s="222">
        <v>127780.63</v>
      </c>
      <c r="J9" s="222">
        <v>120003.89</v>
      </c>
      <c r="K9" s="222">
        <v>0</v>
      </c>
      <c r="L9" s="222">
        <v>0</v>
      </c>
      <c r="M9" s="222">
        <v>0</v>
      </c>
      <c r="N9" s="222">
        <v>0</v>
      </c>
      <c r="O9" s="18"/>
      <c r="P9" s="18"/>
      <c r="Q9" s="18"/>
    </row>
    <row r="10" spans="1:22" s="10" customFormat="1" ht="23.1" customHeight="1" x14ac:dyDescent="0.3">
      <c r="A10" s="1276" t="s">
        <v>170</v>
      </c>
      <c r="B10" s="1277"/>
      <c r="C10" s="1209" t="s">
        <v>36</v>
      </c>
      <c r="D10" s="1209"/>
      <c r="E10" s="60">
        <f t="shared" ref="E10:E14" si="1">SUM(G10,I10,K10,M10)</f>
        <v>90738.52</v>
      </c>
      <c r="F10" s="60">
        <f>SUM(H10,J10,L10,N10)</f>
        <v>101696.09</v>
      </c>
      <c r="G10" s="222">
        <v>0</v>
      </c>
      <c r="H10" s="222">
        <v>0</v>
      </c>
      <c r="I10" s="222">
        <v>90738.52</v>
      </c>
      <c r="J10" s="222">
        <v>101696.09</v>
      </c>
      <c r="K10" s="222">
        <v>0</v>
      </c>
      <c r="L10" s="222">
        <v>0</v>
      </c>
      <c r="M10" s="222">
        <v>0</v>
      </c>
      <c r="N10" s="222">
        <v>0</v>
      </c>
      <c r="O10" s="690"/>
      <c r="P10" s="18"/>
      <c r="Q10" s="18"/>
    </row>
    <row r="11" spans="1:22" s="10" customFormat="1" ht="21.6" customHeight="1" x14ac:dyDescent="0.3">
      <c r="A11" s="1276" t="s">
        <v>171</v>
      </c>
      <c r="B11" s="1277"/>
      <c r="C11" s="1297" t="s">
        <v>15</v>
      </c>
      <c r="D11" s="1298"/>
      <c r="E11" s="60">
        <f t="shared" si="1"/>
        <v>383038.45</v>
      </c>
      <c r="F11" s="60">
        <f>SUM(H11,J11,L11,N11)</f>
        <v>447703.7</v>
      </c>
      <c r="G11" s="81">
        <v>383038.45</v>
      </c>
      <c r="H11" s="81">
        <f>457548.8-9845.1</f>
        <v>447703.7</v>
      </c>
      <c r="I11" s="497" t="s">
        <v>341</v>
      </c>
      <c r="J11" s="497" t="s">
        <v>341</v>
      </c>
      <c r="K11" s="81">
        <v>0</v>
      </c>
      <c r="L11" s="81">
        <v>0</v>
      </c>
      <c r="M11" s="81">
        <v>0</v>
      </c>
      <c r="N11" s="89">
        <v>0</v>
      </c>
      <c r="O11" s="690"/>
      <c r="P11" s="18"/>
      <c r="Q11" s="18"/>
    </row>
    <row r="12" spans="1:22" s="10" customFormat="1" ht="30.75" customHeight="1" x14ac:dyDescent="0.3">
      <c r="A12" s="1276" t="s">
        <v>172</v>
      </c>
      <c r="B12" s="1277"/>
      <c r="C12" s="1209" t="s">
        <v>569</v>
      </c>
      <c r="D12" s="1209"/>
      <c r="E12" s="60">
        <f t="shared" si="1"/>
        <v>1307642.69</v>
      </c>
      <c r="F12" s="60">
        <f>SUM(H12,J12,L12,N12)</f>
        <v>1322623.32</v>
      </c>
      <c r="G12" s="81">
        <v>982150.44</v>
      </c>
      <c r="H12" s="81">
        <v>1004728.89</v>
      </c>
      <c r="I12" s="497" t="s">
        <v>341</v>
      </c>
      <c r="J12" s="497" t="s">
        <v>341</v>
      </c>
      <c r="K12" s="81">
        <v>325492.25</v>
      </c>
      <c r="L12" s="81">
        <v>317894.43</v>
      </c>
      <c r="M12" s="81">
        <v>0</v>
      </c>
      <c r="N12" s="89">
        <v>0</v>
      </c>
      <c r="O12" s="690"/>
      <c r="P12" s="18"/>
      <c r="Q12" s="18"/>
    </row>
    <row r="13" spans="1:22" s="10" customFormat="1" ht="23.1" customHeight="1" x14ac:dyDescent="0.3">
      <c r="A13" s="1276" t="s">
        <v>173</v>
      </c>
      <c r="B13" s="1277"/>
      <c r="C13" s="1209" t="s">
        <v>17</v>
      </c>
      <c r="D13" s="1209"/>
      <c r="E13" s="60">
        <f t="shared" si="1"/>
        <v>236611.75</v>
      </c>
      <c r="F13" s="60">
        <f t="shared" ref="F13:F14" si="2">SUM(H13,J13,L13,N13)</f>
        <v>306828.57</v>
      </c>
      <c r="G13" s="81">
        <v>0</v>
      </c>
      <c r="H13" s="81">
        <v>0</v>
      </c>
      <c r="I13" s="497" t="s">
        <v>341</v>
      </c>
      <c r="J13" s="497" t="s">
        <v>341</v>
      </c>
      <c r="K13" s="81">
        <v>236611.75</v>
      </c>
      <c r="L13" s="81">
        <v>306828.57</v>
      </c>
      <c r="M13" s="81">
        <v>0</v>
      </c>
      <c r="N13" s="89">
        <v>0</v>
      </c>
      <c r="O13" s="18"/>
      <c r="P13" s="18"/>
      <c r="Q13" s="18"/>
    </row>
    <row r="14" spans="1:22" s="10" customFormat="1" ht="23.1" customHeight="1" x14ac:dyDescent="0.3">
      <c r="A14" s="1276" t="s">
        <v>174</v>
      </c>
      <c r="B14" s="1277"/>
      <c r="C14" s="1209" t="s">
        <v>237</v>
      </c>
      <c r="D14" s="1209"/>
      <c r="E14" s="60">
        <f t="shared" si="1"/>
        <v>689524.21</v>
      </c>
      <c r="F14" s="60">
        <f t="shared" si="2"/>
        <v>718202.61</v>
      </c>
      <c r="G14" s="81">
        <v>331224.3</v>
      </c>
      <c r="H14" s="81">
        <v>356660.67</v>
      </c>
      <c r="I14" s="81">
        <v>358299.91</v>
      </c>
      <c r="J14" s="81">
        <v>361541.94</v>
      </c>
      <c r="K14" s="81">
        <v>0</v>
      </c>
      <c r="L14" s="81">
        <v>0</v>
      </c>
      <c r="M14" s="81">
        <v>0</v>
      </c>
      <c r="N14" s="89">
        <v>0</v>
      </c>
      <c r="O14" s="18"/>
      <c r="P14" s="18"/>
      <c r="Q14" s="18"/>
    </row>
    <row r="15" spans="1:22" s="10" customFormat="1" ht="23.1" customHeight="1" thickBot="1" x14ac:dyDescent="0.35">
      <c r="A15" s="1282" t="s">
        <v>175</v>
      </c>
      <c r="B15" s="1283"/>
      <c r="C15" s="1278" t="s">
        <v>18</v>
      </c>
      <c r="D15" s="1278"/>
      <c r="E15" s="507">
        <f>SUM(G15,I15,K15,M15)</f>
        <v>623773.98</v>
      </c>
      <c r="F15" s="507">
        <f>SUM(H15,J15,L15,N15)</f>
        <v>680327.83</v>
      </c>
      <c r="G15" s="94">
        <v>419759.48</v>
      </c>
      <c r="H15" s="94">
        <v>449097.12</v>
      </c>
      <c r="I15" s="94">
        <v>99780.5</v>
      </c>
      <c r="J15" s="94">
        <v>103590.71</v>
      </c>
      <c r="K15" s="94">
        <v>104234</v>
      </c>
      <c r="L15" s="94">
        <v>127640</v>
      </c>
      <c r="M15" s="94">
        <v>0</v>
      </c>
      <c r="N15" s="95">
        <v>0</v>
      </c>
      <c r="O15" s="18"/>
      <c r="P15" s="18"/>
      <c r="Q15" s="18"/>
    </row>
    <row r="16" spans="1:22" ht="34.35" customHeight="1" thickBot="1" x14ac:dyDescent="0.35">
      <c r="A16" s="77" t="s">
        <v>680</v>
      </c>
      <c r="B16" s="12"/>
      <c r="H16" s="101"/>
      <c r="L16" s="78"/>
      <c r="M16" s="1287" t="s">
        <v>39</v>
      </c>
      <c r="N16" s="1287"/>
    </row>
    <row r="17" spans="1:22" ht="31.35" customHeight="1" x14ac:dyDescent="0.25">
      <c r="A17" s="1308" t="s">
        <v>40</v>
      </c>
      <c r="B17" s="1306" t="s">
        <v>7</v>
      </c>
      <c r="C17" s="1306"/>
      <c r="D17" s="1306"/>
      <c r="E17" s="1288" t="s">
        <v>303</v>
      </c>
      <c r="F17" s="1269" t="s">
        <v>35</v>
      </c>
      <c r="G17" s="1269" t="s">
        <v>36</v>
      </c>
      <c r="H17" s="1269"/>
      <c r="I17" s="1269" t="s">
        <v>15</v>
      </c>
      <c r="J17" s="1269" t="s">
        <v>569</v>
      </c>
      <c r="K17" s="1269" t="s">
        <v>17</v>
      </c>
      <c r="L17" s="1269" t="s">
        <v>237</v>
      </c>
      <c r="M17" s="1269"/>
      <c r="N17" s="1270" t="s">
        <v>387</v>
      </c>
    </row>
    <row r="18" spans="1:22" ht="92.45" customHeight="1" x14ac:dyDescent="0.25">
      <c r="A18" s="1309"/>
      <c r="B18" s="1307"/>
      <c r="C18" s="1307"/>
      <c r="D18" s="1307"/>
      <c r="E18" s="1289"/>
      <c r="F18" s="1225"/>
      <c r="G18" s="314" t="s">
        <v>466</v>
      </c>
      <c r="H18" s="289" t="s">
        <v>637</v>
      </c>
      <c r="I18" s="1225"/>
      <c r="J18" s="1225"/>
      <c r="K18" s="1225"/>
      <c r="L18" s="119" t="s">
        <v>467</v>
      </c>
      <c r="M18" s="289" t="s">
        <v>409</v>
      </c>
      <c r="N18" s="1271"/>
    </row>
    <row r="19" spans="1:22" ht="25.35" customHeight="1" x14ac:dyDescent="0.25">
      <c r="A19" s="288">
        <v>1</v>
      </c>
      <c r="B19" s="1290">
        <v>2</v>
      </c>
      <c r="C19" s="1291"/>
      <c r="D19" s="1292"/>
      <c r="E19" s="287">
        <v>3</v>
      </c>
      <c r="F19" s="143">
        <v>4</v>
      </c>
      <c r="G19" s="287">
        <v>5</v>
      </c>
      <c r="H19" s="143">
        <v>6</v>
      </c>
      <c r="I19" s="287">
        <v>7</v>
      </c>
      <c r="J19" s="143">
        <v>8</v>
      </c>
      <c r="K19" s="287">
        <v>9</v>
      </c>
      <c r="L19" s="143">
        <v>10</v>
      </c>
      <c r="M19" s="287">
        <v>11</v>
      </c>
      <c r="N19" s="144">
        <v>12</v>
      </c>
    </row>
    <row r="20" spans="1:22" ht="29.1" customHeight="1" x14ac:dyDescent="0.25">
      <c r="A20" s="288">
        <v>1</v>
      </c>
      <c r="B20" s="1286" t="s">
        <v>41</v>
      </c>
      <c r="C20" s="1286"/>
      <c r="D20" s="1286"/>
      <c r="E20" s="123">
        <f>SUM(F20:M20)</f>
        <v>80</v>
      </c>
      <c r="F20" s="124">
        <f t="shared" ref="F20:M20" si="3">F21+F22+F23</f>
        <v>2</v>
      </c>
      <c r="G20" s="124">
        <f t="shared" si="3"/>
        <v>2</v>
      </c>
      <c r="H20" s="124">
        <f t="shared" si="3"/>
        <v>0</v>
      </c>
      <c r="I20" s="124">
        <f t="shared" si="3"/>
        <v>9</v>
      </c>
      <c r="J20" s="124">
        <f t="shared" si="3"/>
        <v>35</v>
      </c>
      <c r="K20" s="124">
        <f t="shared" si="3"/>
        <v>15</v>
      </c>
      <c r="L20" s="124">
        <f t="shared" si="3"/>
        <v>16</v>
      </c>
      <c r="M20" s="124">
        <f t="shared" si="3"/>
        <v>1</v>
      </c>
      <c r="N20" s="124">
        <f>N21+N22+N23</f>
        <v>75393</v>
      </c>
    </row>
    <row r="21" spans="1:22" ht="29.1" customHeight="1" x14ac:dyDescent="0.25">
      <c r="A21" s="288" t="s">
        <v>91</v>
      </c>
      <c r="B21" s="1286" t="s">
        <v>386</v>
      </c>
      <c r="C21" s="1286"/>
      <c r="D21" s="1286"/>
      <c r="E21" s="123">
        <f>SUM(F21:M21)</f>
        <v>80</v>
      </c>
      <c r="F21" s="121">
        <v>2</v>
      </c>
      <c r="G21" s="121">
        <v>2</v>
      </c>
      <c r="H21" s="121">
        <v>0</v>
      </c>
      <c r="I21" s="121">
        <v>9</v>
      </c>
      <c r="J21" s="121">
        <v>35</v>
      </c>
      <c r="K21" s="121">
        <v>15</v>
      </c>
      <c r="L21" s="121">
        <v>16</v>
      </c>
      <c r="M21" s="121">
        <v>1</v>
      </c>
      <c r="N21" s="122">
        <v>75393</v>
      </c>
    </row>
    <row r="22" spans="1:22" ht="29.1" customHeight="1" x14ac:dyDescent="0.25">
      <c r="A22" s="288" t="s">
        <v>92</v>
      </c>
      <c r="B22" s="1286" t="s">
        <v>42</v>
      </c>
      <c r="C22" s="1286"/>
      <c r="D22" s="1286"/>
      <c r="E22" s="123">
        <f>SUM(F22:M22)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v>0</v>
      </c>
      <c r="M22" s="121">
        <v>0</v>
      </c>
      <c r="N22" s="122">
        <v>0</v>
      </c>
    </row>
    <row r="23" spans="1:22" s="14" customFormat="1" ht="44.45" customHeight="1" x14ac:dyDescent="0.25">
      <c r="A23" s="288" t="s">
        <v>93</v>
      </c>
      <c r="B23" s="1286" t="s">
        <v>43</v>
      </c>
      <c r="C23" s="1286"/>
      <c r="D23" s="1286"/>
      <c r="E23" s="123">
        <f>SUM(F23:M23)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v>0</v>
      </c>
      <c r="M23" s="121">
        <v>0</v>
      </c>
      <c r="N23" s="122">
        <v>0</v>
      </c>
      <c r="O23" s="68"/>
      <c r="P23" s="68"/>
      <c r="Q23" s="68"/>
      <c r="R23" s="2"/>
      <c r="S23" s="2"/>
      <c r="T23" s="2"/>
      <c r="U23" s="2"/>
      <c r="V23" s="2"/>
    </row>
    <row r="24" spans="1:22" s="16" customFormat="1" ht="30.6" customHeight="1" thickBot="1" x14ac:dyDescent="0.3">
      <c r="A24" s="1214" t="s">
        <v>866</v>
      </c>
      <c r="B24" s="1214"/>
      <c r="C24" s="1214"/>
      <c r="D24" s="1214"/>
      <c r="E24" s="290"/>
      <c r="F24" s="291"/>
      <c r="G24" s="291"/>
      <c r="H24" s="291"/>
      <c r="I24" s="291"/>
      <c r="J24" s="291"/>
      <c r="K24" s="291"/>
      <c r="L24" s="291"/>
      <c r="M24" s="291"/>
      <c r="N24" s="291"/>
      <c r="O24" s="297"/>
      <c r="P24" s="297"/>
      <c r="Q24" s="297"/>
      <c r="R24" s="4"/>
      <c r="S24" s="4"/>
      <c r="T24" s="4"/>
      <c r="U24" s="4"/>
      <c r="V24" s="4"/>
    </row>
    <row r="25" spans="1:22" s="14" customFormat="1" ht="30" customHeight="1" x14ac:dyDescent="0.25">
      <c r="A25" s="1284" t="s">
        <v>40</v>
      </c>
      <c r="B25" s="1135" t="s">
        <v>7</v>
      </c>
      <c r="C25" s="1135"/>
      <c r="D25" s="1135"/>
      <c r="E25" s="1089" t="s">
        <v>303</v>
      </c>
      <c r="F25" s="1269" t="s">
        <v>35</v>
      </c>
      <c r="G25" s="1269" t="s">
        <v>36</v>
      </c>
      <c r="H25" s="1269" t="s">
        <v>15</v>
      </c>
      <c r="I25" s="1269" t="s">
        <v>16</v>
      </c>
      <c r="J25" s="1269" t="s">
        <v>17</v>
      </c>
      <c r="K25" s="1270" t="s">
        <v>237</v>
      </c>
      <c r="L25" s="294"/>
      <c r="M25" s="294"/>
      <c r="N25" s="1293"/>
      <c r="O25" s="68"/>
      <c r="P25" s="68"/>
      <c r="Q25" s="68"/>
      <c r="R25" s="2"/>
      <c r="S25" s="2"/>
      <c r="T25" s="2"/>
      <c r="U25" s="2"/>
      <c r="V25" s="2"/>
    </row>
    <row r="26" spans="1:22" s="14" customFormat="1" ht="26.45" customHeight="1" x14ac:dyDescent="0.25">
      <c r="A26" s="1285"/>
      <c r="B26" s="1211"/>
      <c r="C26" s="1211"/>
      <c r="D26" s="1211"/>
      <c r="E26" s="1112"/>
      <c r="F26" s="1225"/>
      <c r="G26" s="1225"/>
      <c r="H26" s="1225"/>
      <c r="I26" s="1225"/>
      <c r="J26" s="1225"/>
      <c r="K26" s="1271"/>
      <c r="L26" s="295"/>
      <c r="M26" s="149"/>
      <c r="N26" s="1293"/>
      <c r="O26" s="68"/>
      <c r="P26" s="68"/>
      <c r="Q26" s="68"/>
      <c r="R26" s="2"/>
      <c r="S26" s="2"/>
      <c r="T26" s="2"/>
      <c r="U26" s="2"/>
      <c r="V26" s="2"/>
    </row>
    <row r="27" spans="1:22" s="14" customFormat="1" ht="21" customHeight="1" x14ac:dyDescent="0.25">
      <c r="A27" s="342">
        <v>1</v>
      </c>
      <c r="B27" s="1222">
        <v>2</v>
      </c>
      <c r="C27" s="1222"/>
      <c r="D27" s="1222"/>
      <c r="E27" s="343">
        <v>3</v>
      </c>
      <c r="F27" s="344">
        <v>4</v>
      </c>
      <c r="G27" s="343">
        <v>5</v>
      </c>
      <c r="H27" s="344">
        <v>6</v>
      </c>
      <c r="I27" s="343">
        <v>7</v>
      </c>
      <c r="J27" s="344">
        <v>8</v>
      </c>
      <c r="K27" s="345">
        <v>9</v>
      </c>
      <c r="L27" s="292"/>
      <c r="M27" s="296"/>
      <c r="N27" s="292"/>
      <c r="O27" s="68"/>
      <c r="P27" s="68"/>
      <c r="Q27" s="68"/>
      <c r="R27" s="2"/>
      <c r="S27" s="2"/>
      <c r="T27" s="2"/>
      <c r="U27" s="2"/>
      <c r="V27" s="2"/>
    </row>
    <row r="28" spans="1:22" s="14" customFormat="1" ht="31.7" customHeight="1" x14ac:dyDescent="0.25">
      <c r="A28" s="298">
        <v>1</v>
      </c>
      <c r="B28" s="1268" t="s">
        <v>863</v>
      </c>
      <c r="C28" s="1268"/>
      <c r="D28" s="1268"/>
      <c r="E28" s="494">
        <f>F8/E20/6</f>
        <v>6285.5378749999991</v>
      </c>
      <c r="F28" s="495">
        <f>(F9)/F20/6</f>
        <v>10000.324166666667</v>
      </c>
      <c r="G28" s="495">
        <f>F10/(G20+H20)/6</f>
        <v>8474.6741666666658</v>
      </c>
      <c r="H28" s="495">
        <f>(F11)/I20/6</f>
        <v>8290.8092592592602</v>
      </c>
      <c r="I28" s="495">
        <f>(F12)/J20/6</f>
        <v>6298.2062857142855</v>
      </c>
      <c r="J28" s="495">
        <f>(F13)/K20/6</f>
        <v>3409.2063333333335</v>
      </c>
      <c r="K28" s="496">
        <f>F14/(L20+M20)/6</f>
        <v>7041.2020588235291</v>
      </c>
      <c r="L28" s="293"/>
      <c r="M28" s="293"/>
      <c r="N28" s="293"/>
      <c r="O28" s="68"/>
      <c r="P28" s="68"/>
      <c r="Q28" s="68"/>
      <c r="R28" s="2"/>
      <c r="S28" s="2"/>
      <c r="T28" s="2"/>
      <c r="U28" s="2"/>
      <c r="V28" s="2"/>
    </row>
    <row r="29" spans="1:22" s="14" customFormat="1" ht="19.350000000000001" customHeight="1" x14ac:dyDescent="0.25">
      <c r="A29" s="1281" t="s">
        <v>468</v>
      </c>
      <c r="B29" s="1281"/>
      <c r="C29" s="1281"/>
      <c r="D29" s="1281"/>
      <c r="E29" s="1281"/>
      <c r="F29" s="1281"/>
      <c r="G29" s="1281"/>
      <c r="H29" s="1281"/>
      <c r="I29" s="1281"/>
      <c r="J29" s="1281"/>
      <c r="K29" s="1281"/>
      <c r="L29" s="1281"/>
      <c r="M29" s="1281"/>
      <c r="N29" s="2"/>
      <c r="O29" s="68"/>
      <c r="P29" s="68"/>
      <c r="Q29" s="68"/>
      <c r="R29" s="2"/>
      <c r="S29" s="2"/>
      <c r="T29" s="2"/>
      <c r="U29" s="2"/>
      <c r="V29" s="2"/>
    </row>
    <row r="30" spans="1:22" s="14" customFormat="1" ht="19.350000000000001" customHeight="1" x14ac:dyDescent="0.25">
      <c r="A30" s="1280" t="s">
        <v>469</v>
      </c>
      <c r="B30" s="1280"/>
      <c r="C30" s="1280"/>
      <c r="D30" s="1280"/>
      <c r="E30" s="1280"/>
      <c r="F30" s="1280"/>
      <c r="G30" s="1280"/>
      <c r="H30" s="1280"/>
      <c r="I30" s="1280"/>
      <c r="J30" s="1280"/>
      <c r="K30" s="1280"/>
      <c r="L30" s="1280"/>
      <c r="M30" s="1280"/>
      <c r="N30" s="2"/>
      <c r="O30" s="68"/>
      <c r="P30" s="68"/>
      <c r="Q30" s="68"/>
      <c r="R30" s="2"/>
      <c r="S30" s="2"/>
      <c r="T30" s="2"/>
      <c r="U30" s="2"/>
      <c r="V30" s="2"/>
    </row>
    <row r="31" spans="1:22" s="14" customFormat="1" ht="19.350000000000001" customHeight="1" x14ac:dyDescent="0.25">
      <c r="A31" s="1279" t="s">
        <v>567</v>
      </c>
      <c r="B31" s="1279"/>
      <c r="C31" s="1279"/>
      <c r="D31" s="1279"/>
      <c r="E31" s="1279"/>
      <c r="F31" s="1279"/>
      <c r="G31" s="1279"/>
      <c r="H31" s="1279"/>
      <c r="I31" s="1279"/>
      <c r="J31" s="1279"/>
      <c r="K31" s="1279"/>
      <c r="L31" s="16"/>
      <c r="M31" s="16"/>
      <c r="N31" s="2"/>
      <c r="O31" s="68"/>
      <c r="P31" s="68"/>
      <c r="Q31" s="68"/>
      <c r="R31" s="2"/>
      <c r="S31" s="2"/>
      <c r="T31" s="2"/>
      <c r="U31" s="2"/>
      <c r="V31" s="2"/>
    </row>
    <row r="32" spans="1:22" s="14" customFormat="1" ht="21" x14ac:dyDescent="0.35">
      <c r="A32" s="115" t="s">
        <v>198</v>
      </c>
      <c r="B32" s="27"/>
      <c r="C32" s="15"/>
      <c r="D32" s="13"/>
      <c r="E32" s="6"/>
      <c r="F32" s="4"/>
      <c r="G32" s="4"/>
      <c r="H32" s="4"/>
      <c r="I32" s="4"/>
      <c r="J32" s="4"/>
      <c r="K32" s="4"/>
      <c r="L32" s="16"/>
      <c r="N32" s="2"/>
      <c r="O32" s="68"/>
      <c r="P32" s="68"/>
      <c r="Q32" s="68"/>
      <c r="R32" s="2"/>
      <c r="S32" s="2"/>
      <c r="T32" s="2"/>
      <c r="U32" s="2"/>
      <c r="V32" s="2"/>
    </row>
    <row r="33" spans="1:22" s="14" customFormat="1" ht="36.6" customHeight="1" x14ac:dyDescent="0.3">
      <c r="A33" s="1299" t="s">
        <v>847</v>
      </c>
      <c r="B33" s="1299"/>
      <c r="C33" s="1299"/>
      <c r="D33" s="13"/>
      <c r="E33" s="6"/>
      <c r="F33" s="4"/>
      <c r="G33" s="4"/>
      <c r="H33" s="4"/>
      <c r="I33" s="4"/>
      <c r="J33" s="4"/>
      <c r="K33" s="4"/>
      <c r="L33" s="16"/>
      <c r="N33" s="2"/>
      <c r="O33" s="68"/>
      <c r="P33" s="68"/>
      <c r="Q33" s="68"/>
      <c r="R33" s="2"/>
      <c r="S33" s="2"/>
      <c r="T33" s="2"/>
      <c r="U33" s="2"/>
      <c r="V33" s="2"/>
    </row>
    <row r="34" spans="1:22" s="14" customFormat="1" ht="30" customHeight="1" thickBot="1" x14ac:dyDescent="0.35">
      <c r="A34" s="14" t="s">
        <v>392</v>
      </c>
      <c r="B34" s="27"/>
      <c r="C34" s="15" t="s">
        <v>402</v>
      </c>
      <c r="D34" s="13"/>
      <c r="E34" s="6"/>
      <c r="F34" s="4"/>
      <c r="G34" s="4"/>
      <c r="H34" s="4"/>
      <c r="I34" s="4"/>
      <c r="J34" s="4"/>
      <c r="K34" s="4"/>
      <c r="L34" s="16"/>
      <c r="N34" s="2"/>
      <c r="O34" s="68"/>
      <c r="P34" s="68"/>
      <c r="Q34" s="68"/>
      <c r="R34" s="2"/>
      <c r="S34" s="2"/>
      <c r="T34" s="2"/>
      <c r="U34" s="2"/>
      <c r="V34" s="2"/>
    </row>
    <row r="35" spans="1:22" s="14" customFormat="1" ht="54" customHeight="1" x14ac:dyDescent="0.25">
      <c r="A35" s="1260" t="s">
        <v>90</v>
      </c>
      <c r="B35" s="1261"/>
      <c r="C35" s="1264" t="s">
        <v>7</v>
      </c>
      <c r="D35" s="1265"/>
      <c r="E35" s="1265"/>
      <c r="F35" s="1265"/>
      <c r="G35" s="1261"/>
      <c r="H35" s="1253" t="s">
        <v>89</v>
      </c>
      <c r="I35" s="1253"/>
      <c r="J35" s="1253" t="s">
        <v>8</v>
      </c>
      <c r="K35" s="1254"/>
      <c r="L35" s="393"/>
      <c r="M35" s="393"/>
      <c r="N35" s="393"/>
      <c r="O35" s="68"/>
      <c r="P35" s="68"/>
      <c r="Q35" s="68"/>
      <c r="R35" s="2"/>
      <c r="S35" s="2"/>
      <c r="T35" s="2"/>
      <c r="U35" s="2"/>
      <c r="V35" s="2"/>
    </row>
    <row r="36" spans="1:22" s="14" customFormat="1" ht="34.700000000000003" customHeight="1" x14ac:dyDescent="0.25">
      <c r="A36" s="1262"/>
      <c r="B36" s="1263"/>
      <c r="C36" s="1266"/>
      <c r="D36" s="1267"/>
      <c r="E36" s="1267"/>
      <c r="F36" s="1267"/>
      <c r="G36" s="1263"/>
      <c r="H36" s="394" t="s">
        <v>568</v>
      </c>
      <c r="I36" s="394" t="s">
        <v>425</v>
      </c>
      <c r="J36" s="394" t="s">
        <v>568</v>
      </c>
      <c r="K36" s="395" t="s">
        <v>425</v>
      </c>
      <c r="L36" s="393"/>
      <c r="M36" s="393"/>
      <c r="N36" s="393"/>
      <c r="O36" s="68"/>
      <c r="P36" s="68"/>
      <c r="Q36" s="68"/>
      <c r="R36" s="2"/>
      <c r="S36" s="2"/>
      <c r="T36" s="2"/>
      <c r="U36" s="2"/>
      <c r="V36" s="2"/>
    </row>
    <row r="37" spans="1:22" s="14" customFormat="1" ht="20.25" x14ac:dyDescent="0.25">
      <c r="A37" s="1255">
        <v>1</v>
      </c>
      <c r="B37" s="1256"/>
      <c r="C37" s="1257">
        <v>2</v>
      </c>
      <c r="D37" s="1258"/>
      <c r="E37" s="1258"/>
      <c r="F37" s="1258"/>
      <c r="G37" s="1259"/>
      <c r="H37" s="433">
        <v>3</v>
      </c>
      <c r="I37" s="440">
        <v>4</v>
      </c>
      <c r="J37" s="433">
        <v>5</v>
      </c>
      <c r="K37" s="396">
        <v>6</v>
      </c>
      <c r="L37" s="393"/>
      <c r="M37" s="393"/>
      <c r="N37" s="393"/>
      <c r="O37" s="68"/>
      <c r="P37" s="68"/>
      <c r="Q37" s="68"/>
      <c r="R37" s="2"/>
      <c r="S37" s="2"/>
      <c r="T37" s="2"/>
      <c r="U37" s="2"/>
      <c r="V37" s="2"/>
    </row>
    <row r="38" spans="1:22" s="14" customFormat="1" ht="32.450000000000003" customHeight="1" x14ac:dyDescent="0.25">
      <c r="A38" s="1255">
        <v>1</v>
      </c>
      <c r="B38" s="1256"/>
      <c r="C38" s="1275" t="s">
        <v>389</v>
      </c>
      <c r="D38" s="1275"/>
      <c r="E38" s="1275"/>
      <c r="F38" s="1275"/>
      <c r="G38" s="1275"/>
      <c r="H38" s="139">
        <v>0</v>
      </c>
      <c r="I38" s="139">
        <v>0</v>
      </c>
      <c r="J38" s="139">
        <v>0</v>
      </c>
      <c r="K38" s="140">
        <v>0</v>
      </c>
      <c r="L38" s="16"/>
      <c r="N38" s="2"/>
      <c r="O38" s="68"/>
      <c r="P38" s="68"/>
      <c r="Q38" s="68"/>
      <c r="R38" s="2"/>
      <c r="S38" s="2"/>
      <c r="T38" s="2"/>
      <c r="U38" s="2"/>
      <c r="V38" s="2"/>
    </row>
    <row r="39" spans="1:22" s="14" customFormat="1" ht="29.45" customHeight="1" thickBot="1" x14ac:dyDescent="0.3">
      <c r="A39" s="1272">
        <v>2</v>
      </c>
      <c r="B39" s="1273"/>
      <c r="C39" s="1274" t="s">
        <v>390</v>
      </c>
      <c r="D39" s="1274"/>
      <c r="E39" s="1274"/>
      <c r="F39" s="1274"/>
      <c r="G39" s="1274"/>
      <c r="H39" s="141">
        <v>0</v>
      </c>
      <c r="I39" s="141">
        <v>0</v>
      </c>
      <c r="J39" s="141">
        <v>0</v>
      </c>
      <c r="K39" s="142">
        <v>0</v>
      </c>
      <c r="L39" s="16"/>
      <c r="N39" s="2"/>
      <c r="O39" s="68"/>
      <c r="P39" s="68"/>
      <c r="Q39" s="68"/>
      <c r="R39" s="2"/>
      <c r="S39" s="2"/>
      <c r="T39" s="2"/>
      <c r="U39" s="2"/>
      <c r="V39" s="2"/>
    </row>
    <row r="40" spans="1:22" s="14" customFormat="1" ht="29.45" customHeight="1" x14ac:dyDescent="0.25">
      <c r="A40" s="101"/>
      <c r="B40" s="101"/>
      <c r="C40" s="114"/>
      <c r="D40" s="114"/>
      <c r="E40" s="114"/>
      <c r="F40" s="114"/>
      <c r="G40" s="114"/>
      <c r="H40" s="4"/>
      <c r="I40" s="4"/>
      <c r="J40" s="4"/>
      <c r="K40" s="4"/>
      <c r="L40" s="16"/>
      <c r="N40" s="2"/>
      <c r="O40" s="68"/>
      <c r="P40" s="68"/>
      <c r="Q40" s="68"/>
      <c r="R40" s="2"/>
      <c r="S40" s="2"/>
      <c r="T40" s="2"/>
      <c r="U40" s="2"/>
      <c r="V40" s="2"/>
    </row>
    <row r="41" spans="1:22" s="133" customFormat="1" ht="42" customHeight="1" x14ac:dyDescent="0.25">
      <c r="N41" s="130"/>
      <c r="O41" s="131"/>
      <c r="P41" s="131"/>
      <c r="Q41" s="131"/>
      <c r="R41" s="130"/>
      <c r="S41" s="130"/>
      <c r="T41" s="130"/>
      <c r="U41" s="130"/>
      <c r="V41" s="130"/>
    </row>
    <row r="42" spans="1:22" s="133" customFormat="1" ht="33" customHeight="1" x14ac:dyDescent="0.25">
      <c r="N42" s="130"/>
      <c r="O42" s="131"/>
      <c r="P42" s="131"/>
      <c r="Q42" s="131"/>
      <c r="R42" s="130"/>
      <c r="S42" s="130"/>
      <c r="T42" s="130"/>
      <c r="U42" s="130"/>
      <c r="V42" s="130"/>
    </row>
    <row r="43" spans="1:22" s="133" customFormat="1" x14ac:dyDescent="0.25">
      <c r="N43" s="130"/>
      <c r="O43" s="131"/>
      <c r="P43" s="131"/>
      <c r="Q43" s="131"/>
      <c r="R43" s="130"/>
      <c r="S43" s="130"/>
      <c r="T43" s="130"/>
      <c r="U43" s="130"/>
      <c r="V43" s="130"/>
    </row>
    <row r="44" spans="1:22" s="133" customFormat="1" ht="18" customHeight="1" x14ac:dyDescent="0.25">
      <c r="N44" s="130"/>
      <c r="O44" s="131"/>
      <c r="P44" s="131"/>
      <c r="Q44" s="131"/>
      <c r="R44" s="130"/>
      <c r="S44" s="130"/>
      <c r="T44" s="130"/>
      <c r="U44" s="130"/>
      <c r="V44" s="130"/>
    </row>
    <row r="45" spans="1:22" s="133" customFormat="1" ht="18" customHeight="1" x14ac:dyDescent="0.25">
      <c r="L45" s="168"/>
      <c r="N45" s="130"/>
      <c r="O45" s="131"/>
      <c r="P45" s="131"/>
      <c r="Q45" s="131"/>
      <c r="R45" s="130"/>
      <c r="S45" s="130"/>
      <c r="T45" s="130"/>
      <c r="U45" s="130"/>
      <c r="V45" s="130"/>
    </row>
    <row r="46" spans="1:22" s="133" customFormat="1" x14ac:dyDescent="0.25">
      <c r="A46" s="169"/>
      <c r="B46" s="170"/>
      <c r="C46" s="171"/>
      <c r="D46" s="130"/>
      <c r="E46" s="134"/>
      <c r="F46" s="134"/>
      <c r="G46" s="134"/>
      <c r="H46" s="130"/>
      <c r="I46" s="130"/>
      <c r="J46" s="130"/>
      <c r="K46" s="130"/>
      <c r="N46" s="130"/>
      <c r="O46" s="131"/>
      <c r="P46" s="131"/>
      <c r="Q46" s="131"/>
      <c r="R46" s="130"/>
      <c r="S46" s="130"/>
      <c r="T46" s="130"/>
      <c r="U46" s="130"/>
      <c r="V46" s="130"/>
    </row>
    <row r="47" spans="1:22" s="133" customFormat="1" x14ac:dyDescent="0.25">
      <c r="A47" s="169"/>
      <c r="B47" s="170"/>
      <c r="C47" s="171"/>
      <c r="D47" s="130"/>
      <c r="E47" s="134"/>
      <c r="F47" s="134"/>
      <c r="G47" s="134"/>
      <c r="H47" s="130"/>
      <c r="I47" s="130"/>
      <c r="J47" s="130"/>
      <c r="K47" s="130"/>
      <c r="N47" s="130"/>
      <c r="O47" s="131"/>
      <c r="P47" s="131"/>
      <c r="Q47" s="131"/>
      <c r="R47" s="130"/>
      <c r="S47" s="130"/>
      <c r="T47" s="130"/>
      <c r="U47" s="130"/>
      <c r="V47" s="130"/>
    </row>
    <row r="48" spans="1:22" s="133" customFormat="1" x14ac:dyDescent="0.25">
      <c r="A48" s="169"/>
      <c r="B48" s="170"/>
      <c r="C48" s="171"/>
      <c r="D48" s="130"/>
      <c r="E48" s="134"/>
      <c r="F48" s="134"/>
      <c r="G48" s="134"/>
      <c r="H48" s="130"/>
      <c r="I48" s="130"/>
      <c r="J48" s="130"/>
      <c r="K48" s="130"/>
      <c r="N48" s="130"/>
      <c r="O48" s="131"/>
      <c r="P48" s="131"/>
      <c r="Q48" s="131"/>
      <c r="R48" s="130"/>
      <c r="S48" s="130"/>
      <c r="T48" s="130"/>
      <c r="U48" s="130"/>
      <c r="V48" s="130"/>
    </row>
    <row r="49" spans="1:22" s="133" customFormat="1" x14ac:dyDescent="0.25">
      <c r="A49" s="169"/>
      <c r="B49" s="170"/>
      <c r="C49" s="171"/>
      <c r="D49" s="130"/>
      <c r="E49" s="134"/>
      <c r="F49" s="134"/>
      <c r="G49" s="134"/>
      <c r="H49" s="130"/>
      <c r="I49" s="130"/>
      <c r="J49" s="130"/>
      <c r="K49" s="130"/>
      <c r="N49" s="130"/>
      <c r="O49" s="131"/>
      <c r="P49" s="131"/>
      <c r="Q49" s="131"/>
      <c r="R49" s="130"/>
      <c r="S49" s="130"/>
      <c r="T49" s="130"/>
      <c r="U49" s="130"/>
      <c r="V49" s="130"/>
    </row>
    <row r="50" spans="1:22" s="130" customFormat="1" x14ac:dyDescent="0.25">
      <c r="J50" s="135"/>
      <c r="K50" s="135"/>
      <c r="L50" s="168"/>
      <c r="M50" s="133"/>
      <c r="O50" s="131"/>
      <c r="P50" s="131"/>
      <c r="Q50" s="131"/>
    </row>
    <row r="51" spans="1:22" s="130" customFormat="1" ht="25.35" customHeight="1" x14ac:dyDescent="0.25">
      <c r="J51" s="135"/>
      <c r="K51" s="135"/>
      <c r="L51" s="168"/>
      <c r="M51" s="133"/>
      <c r="O51" s="131"/>
      <c r="P51" s="131"/>
      <c r="Q51" s="131"/>
    </row>
    <row r="52" spans="1:22" s="130" customFormat="1" ht="27.6" customHeight="1" x14ac:dyDescent="0.25">
      <c r="J52" s="135"/>
      <c r="K52" s="135"/>
      <c r="L52" s="168"/>
      <c r="M52" s="133"/>
      <c r="O52" s="131"/>
      <c r="P52" s="131"/>
      <c r="Q52" s="131"/>
    </row>
    <row r="53" spans="1:22" s="133" customFormat="1" x14ac:dyDescent="0.25">
      <c r="A53" s="169"/>
      <c r="B53" s="170"/>
      <c r="C53" s="171"/>
      <c r="D53" s="130"/>
      <c r="E53" s="134"/>
      <c r="F53" s="134"/>
      <c r="G53" s="134"/>
      <c r="H53" s="130"/>
      <c r="I53" s="130"/>
      <c r="J53" s="130"/>
      <c r="K53" s="130"/>
      <c r="N53" s="130"/>
      <c r="O53" s="131"/>
      <c r="P53" s="131"/>
      <c r="Q53" s="131"/>
      <c r="R53" s="130"/>
      <c r="S53" s="130"/>
      <c r="T53" s="130"/>
      <c r="U53" s="130"/>
      <c r="V53" s="130"/>
    </row>
    <row r="54" spans="1:22" s="133" customFormat="1" x14ac:dyDescent="0.25">
      <c r="A54" s="169"/>
      <c r="B54" s="170"/>
      <c r="C54" s="171"/>
      <c r="D54" s="130"/>
      <c r="E54" s="134"/>
      <c r="F54" s="134"/>
      <c r="G54" s="134"/>
      <c r="H54" s="130"/>
      <c r="I54" s="130"/>
      <c r="J54" s="130"/>
      <c r="K54" s="130"/>
      <c r="N54" s="130"/>
      <c r="O54" s="131"/>
      <c r="P54" s="131"/>
      <c r="Q54" s="131"/>
      <c r="R54" s="130"/>
      <c r="S54" s="130"/>
      <c r="T54" s="130"/>
      <c r="U54" s="130"/>
      <c r="V54" s="130"/>
    </row>
    <row r="55" spans="1:22" s="133" customFormat="1" x14ac:dyDescent="0.25">
      <c r="A55" s="169"/>
      <c r="B55" s="170"/>
      <c r="C55" s="171"/>
      <c r="D55" s="130"/>
      <c r="E55" s="134"/>
      <c r="F55" s="134"/>
      <c r="G55" s="134"/>
      <c r="H55" s="130"/>
      <c r="I55" s="130"/>
      <c r="J55" s="130"/>
      <c r="K55" s="130"/>
      <c r="N55" s="130"/>
      <c r="O55" s="131"/>
      <c r="P55" s="131"/>
      <c r="Q55" s="131"/>
      <c r="R55" s="130"/>
      <c r="S55" s="130"/>
      <c r="T55" s="130"/>
      <c r="U55" s="130"/>
      <c r="V55" s="130"/>
    </row>
    <row r="56" spans="1:22" s="133" customFormat="1" x14ac:dyDescent="0.25">
      <c r="A56" s="169"/>
      <c r="B56" s="170"/>
      <c r="C56" s="171"/>
      <c r="D56" s="130"/>
      <c r="E56" s="134"/>
      <c r="F56" s="134"/>
      <c r="G56" s="134"/>
      <c r="H56" s="130"/>
      <c r="I56" s="130"/>
      <c r="J56" s="130"/>
      <c r="K56" s="130"/>
      <c r="N56" s="130"/>
      <c r="O56" s="131"/>
      <c r="P56" s="131"/>
      <c r="Q56" s="131"/>
      <c r="R56" s="130"/>
      <c r="S56" s="130"/>
      <c r="T56" s="130"/>
      <c r="U56" s="130"/>
      <c r="V56" s="130"/>
    </row>
    <row r="57" spans="1:22" s="133" customFormat="1" x14ac:dyDescent="0.25">
      <c r="A57" s="169"/>
      <c r="B57" s="170"/>
      <c r="C57" s="171"/>
      <c r="D57" s="130"/>
      <c r="E57" s="134"/>
      <c r="F57" s="134"/>
      <c r="G57" s="134"/>
      <c r="H57" s="130"/>
      <c r="I57" s="130"/>
      <c r="J57" s="130"/>
      <c r="K57" s="130"/>
      <c r="N57" s="130"/>
      <c r="O57" s="131"/>
      <c r="P57" s="131"/>
      <c r="Q57" s="131"/>
      <c r="R57" s="130"/>
      <c r="S57" s="130"/>
      <c r="T57" s="130"/>
      <c r="U57" s="130"/>
      <c r="V57" s="130"/>
    </row>
    <row r="58" spans="1:22" s="130" customFormat="1" x14ac:dyDescent="0.25">
      <c r="A58" s="169"/>
      <c r="B58" s="170"/>
      <c r="C58" s="171"/>
      <c r="E58" s="134"/>
      <c r="F58" s="134"/>
      <c r="G58" s="134"/>
      <c r="H58" s="135"/>
      <c r="I58" s="135"/>
      <c r="J58" s="135"/>
      <c r="K58" s="135"/>
      <c r="L58" s="168"/>
      <c r="M58" s="133"/>
      <c r="O58" s="131"/>
      <c r="P58" s="131"/>
      <c r="Q58" s="131"/>
    </row>
    <row r="59" spans="1:22" s="130" customFormat="1" x14ac:dyDescent="0.25">
      <c r="A59" s="169"/>
      <c r="B59" s="170"/>
      <c r="C59" s="171"/>
      <c r="E59" s="134"/>
      <c r="F59" s="134"/>
      <c r="G59" s="134"/>
      <c r="H59" s="135"/>
      <c r="I59" s="135"/>
      <c r="J59" s="135"/>
      <c r="K59" s="135"/>
      <c r="L59" s="168"/>
      <c r="M59" s="133"/>
      <c r="O59" s="131"/>
      <c r="P59" s="131"/>
      <c r="Q59" s="131"/>
    </row>
    <row r="60" spans="1:22" s="130" customFormat="1" x14ac:dyDescent="0.25">
      <c r="A60" s="169"/>
      <c r="B60" s="170"/>
      <c r="C60" s="171"/>
      <c r="E60" s="134"/>
      <c r="F60" s="134"/>
      <c r="G60" s="134"/>
      <c r="H60" s="135"/>
      <c r="I60" s="135"/>
      <c r="J60" s="135"/>
      <c r="K60" s="135"/>
      <c r="L60" s="168"/>
      <c r="M60" s="133"/>
      <c r="O60" s="131"/>
      <c r="P60" s="131"/>
      <c r="Q60" s="131"/>
    </row>
    <row r="61" spans="1:22" s="130" customFormat="1" x14ac:dyDescent="0.25">
      <c r="A61" s="169"/>
      <c r="B61" s="170"/>
      <c r="C61" s="171"/>
      <c r="E61" s="134"/>
      <c r="F61" s="134"/>
      <c r="G61" s="134"/>
      <c r="H61" s="135"/>
      <c r="I61" s="135"/>
      <c r="J61" s="135"/>
      <c r="K61" s="135"/>
      <c r="L61" s="168"/>
      <c r="M61" s="133"/>
      <c r="O61" s="131"/>
      <c r="P61" s="131"/>
      <c r="Q61" s="131"/>
    </row>
    <row r="62" spans="1:22" s="130" customFormat="1" x14ac:dyDescent="0.25">
      <c r="A62" s="169"/>
      <c r="B62" s="170"/>
      <c r="C62" s="171"/>
      <c r="E62" s="134"/>
      <c r="F62" s="134"/>
      <c r="G62" s="134"/>
      <c r="H62" s="135"/>
      <c r="I62" s="135"/>
      <c r="J62" s="135"/>
      <c r="K62" s="135"/>
      <c r="L62" s="168"/>
      <c r="M62" s="133"/>
      <c r="O62" s="131"/>
      <c r="P62" s="131"/>
      <c r="Q62" s="131"/>
    </row>
    <row r="63" spans="1:22" s="130" customFormat="1" x14ac:dyDescent="0.25">
      <c r="A63" s="169"/>
      <c r="B63" s="170"/>
      <c r="C63" s="171"/>
      <c r="E63" s="134"/>
      <c r="F63" s="134"/>
      <c r="G63" s="134"/>
      <c r="H63" s="135"/>
      <c r="I63" s="135"/>
      <c r="J63" s="135"/>
      <c r="K63" s="135"/>
      <c r="L63" s="168"/>
      <c r="M63" s="133"/>
      <c r="O63" s="131"/>
      <c r="P63" s="131"/>
      <c r="Q63" s="131"/>
    </row>
    <row r="64" spans="1:22" s="130" customFormat="1" x14ac:dyDescent="0.25">
      <c r="A64" s="169"/>
      <c r="B64" s="170"/>
      <c r="C64" s="171"/>
      <c r="E64" s="134"/>
      <c r="F64" s="134"/>
      <c r="G64" s="134"/>
      <c r="H64" s="135"/>
      <c r="I64" s="135"/>
      <c r="J64" s="135"/>
      <c r="K64" s="135"/>
      <c r="L64" s="168"/>
      <c r="M64" s="133"/>
      <c r="O64" s="131"/>
      <c r="P64" s="131"/>
      <c r="Q64" s="131"/>
    </row>
    <row r="65" spans="1:17" s="130" customFormat="1" x14ac:dyDescent="0.25">
      <c r="A65" s="169"/>
      <c r="B65" s="170"/>
      <c r="C65" s="171"/>
      <c r="E65" s="134"/>
      <c r="F65" s="134"/>
      <c r="G65" s="134"/>
      <c r="H65" s="135"/>
      <c r="I65" s="135"/>
      <c r="J65" s="135"/>
      <c r="K65" s="135"/>
      <c r="L65" s="168"/>
      <c r="M65" s="133"/>
      <c r="O65" s="131"/>
      <c r="P65" s="131"/>
      <c r="Q65" s="131"/>
    </row>
    <row r="66" spans="1:17" s="130" customFormat="1" x14ac:dyDescent="0.25">
      <c r="A66" s="169"/>
      <c r="B66" s="170"/>
      <c r="C66" s="171"/>
      <c r="E66" s="134"/>
      <c r="F66" s="134"/>
      <c r="G66" s="134"/>
      <c r="H66" s="135"/>
      <c r="I66" s="135"/>
      <c r="J66" s="135"/>
      <c r="K66" s="135"/>
      <c r="L66" s="168"/>
      <c r="M66" s="133"/>
      <c r="O66" s="131"/>
      <c r="P66" s="131"/>
      <c r="Q66" s="131"/>
    </row>
    <row r="67" spans="1:17" s="130" customFormat="1" x14ac:dyDescent="0.25">
      <c r="A67" s="169"/>
      <c r="B67" s="170"/>
      <c r="C67" s="171"/>
      <c r="E67" s="134"/>
      <c r="F67" s="134"/>
      <c r="G67" s="134"/>
      <c r="H67" s="135"/>
      <c r="I67" s="135"/>
      <c r="J67" s="135"/>
      <c r="K67" s="135"/>
      <c r="L67" s="168"/>
      <c r="M67" s="133"/>
      <c r="O67" s="131"/>
      <c r="P67" s="131"/>
      <c r="Q67" s="131"/>
    </row>
    <row r="68" spans="1:17" s="130" customFormat="1" x14ac:dyDescent="0.25">
      <c r="A68" s="169"/>
      <c r="B68" s="170"/>
      <c r="C68" s="171"/>
      <c r="E68" s="134"/>
      <c r="F68" s="134"/>
      <c r="G68" s="134"/>
      <c r="H68" s="135"/>
      <c r="I68" s="135"/>
      <c r="J68" s="135"/>
      <c r="K68" s="135"/>
      <c r="L68" s="168"/>
      <c r="M68" s="133"/>
      <c r="O68" s="131"/>
      <c r="P68" s="131"/>
      <c r="Q68" s="131"/>
    </row>
    <row r="69" spans="1:17" s="130" customFormat="1" x14ac:dyDescent="0.25">
      <c r="A69" s="169"/>
      <c r="B69" s="170"/>
      <c r="C69" s="171"/>
      <c r="E69" s="134"/>
      <c r="F69" s="134"/>
      <c r="G69" s="134"/>
      <c r="H69" s="135"/>
      <c r="I69" s="135"/>
      <c r="J69" s="135"/>
      <c r="K69" s="135"/>
      <c r="L69" s="168"/>
      <c r="M69" s="133"/>
      <c r="O69" s="131"/>
      <c r="P69" s="131"/>
      <c r="Q69" s="131"/>
    </row>
    <row r="70" spans="1:17" s="130" customFormat="1" x14ac:dyDescent="0.25">
      <c r="A70" s="169"/>
      <c r="B70" s="170"/>
      <c r="C70" s="171"/>
      <c r="E70" s="134"/>
      <c r="F70" s="134"/>
      <c r="G70" s="134"/>
      <c r="H70" s="135"/>
      <c r="I70" s="135"/>
      <c r="J70" s="135"/>
      <c r="K70" s="135"/>
      <c r="L70" s="168"/>
      <c r="M70" s="133"/>
      <c r="O70" s="131"/>
      <c r="P70" s="131"/>
      <c r="Q70" s="131"/>
    </row>
    <row r="71" spans="1:17" s="130" customFormat="1" x14ac:dyDescent="0.25">
      <c r="A71" s="169"/>
      <c r="B71" s="170"/>
      <c r="C71" s="171"/>
      <c r="E71" s="134"/>
      <c r="F71" s="134"/>
      <c r="G71" s="134"/>
      <c r="H71" s="135"/>
      <c r="I71" s="135"/>
      <c r="J71" s="135"/>
      <c r="K71" s="135"/>
      <c r="L71" s="168"/>
      <c r="M71" s="133"/>
      <c r="O71" s="131"/>
      <c r="P71" s="131"/>
      <c r="Q71" s="131"/>
    </row>
    <row r="72" spans="1:17" s="130" customFormat="1" x14ac:dyDescent="0.25">
      <c r="A72" s="169"/>
      <c r="B72" s="170"/>
      <c r="C72" s="171"/>
      <c r="E72" s="134"/>
      <c r="F72" s="134"/>
      <c r="G72" s="134"/>
      <c r="H72" s="135"/>
      <c r="I72" s="135"/>
      <c r="J72" s="135"/>
      <c r="K72" s="135"/>
      <c r="L72" s="168"/>
      <c r="M72" s="133"/>
      <c r="O72" s="131"/>
      <c r="P72" s="131"/>
      <c r="Q72" s="131"/>
    </row>
    <row r="73" spans="1:17" s="130" customFormat="1" x14ac:dyDescent="0.25">
      <c r="A73" s="169"/>
      <c r="B73" s="170"/>
      <c r="C73" s="171"/>
      <c r="E73" s="134"/>
      <c r="F73" s="134"/>
      <c r="G73" s="134"/>
      <c r="H73" s="135"/>
      <c r="I73" s="135"/>
      <c r="J73" s="135"/>
      <c r="K73" s="135"/>
      <c r="L73" s="168"/>
      <c r="M73" s="133"/>
      <c r="O73" s="131"/>
      <c r="P73" s="131"/>
      <c r="Q73" s="131"/>
    </row>
    <row r="74" spans="1:17" s="130" customFormat="1" x14ac:dyDescent="0.25">
      <c r="A74" s="169"/>
      <c r="B74" s="170"/>
      <c r="C74" s="171"/>
      <c r="E74" s="134"/>
      <c r="F74" s="134"/>
      <c r="G74" s="134"/>
      <c r="H74" s="135"/>
      <c r="I74" s="135"/>
      <c r="J74" s="135"/>
      <c r="K74" s="135"/>
      <c r="L74" s="168"/>
      <c r="M74" s="133"/>
      <c r="O74" s="131"/>
      <c r="P74" s="131"/>
      <c r="Q74" s="131"/>
    </row>
    <row r="75" spans="1:17" s="130" customFormat="1" x14ac:dyDescent="0.25">
      <c r="A75" s="169"/>
      <c r="B75" s="170"/>
      <c r="C75" s="171"/>
      <c r="E75" s="134"/>
      <c r="F75" s="134"/>
      <c r="G75" s="134"/>
      <c r="H75" s="135"/>
      <c r="I75" s="135"/>
      <c r="J75" s="135"/>
      <c r="K75" s="135"/>
      <c r="L75" s="168"/>
      <c r="M75" s="133"/>
      <c r="O75" s="131"/>
      <c r="P75" s="131"/>
      <c r="Q75" s="131"/>
    </row>
    <row r="76" spans="1:17" s="130" customFormat="1" x14ac:dyDescent="0.25">
      <c r="A76" s="169"/>
      <c r="B76" s="170"/>
      <c r="C76" s="171"/>
      <c r="E76" s="134"/>
      <c r="F76" s="134"/>
      <c r="G76" s="134"/>
      <c r="H76" s="135"/>
      <c r="I76" s="135"/>
      <c r="J76" s="135"/>
      <c r="K76" s="135"/>
      <c r="L76" s="168"/>
      <c r="M76" s="133"/>
      <c r="O76" s="131"/>
      <c r="P76" s="131"/>
      <c r="Q76" s="131"/>
    </row>
    <row r="77" spans="1:17" s="130" customFormat="1" x14ac:dyDescent="0.25">
      <c r="A77" s="169"/>
      <c r="B77" s="170"/>
      <c r="C77" s="171"/>
      <c r="E77" s="134"/>
      <c r="F77" s="134"/>
      <c r="G77" s="134"/>
      <c r="H77" s="135"/>
      <c r="I77" s="135"/>
      <c r="J77" s="135"/>
      <c r="K77" s="135"/>
      <c r="L77" s="168"/>
      <c r="M77" s="133"/>
      <c r="O77" s="131"/>
      <c r="P77" s="131"/>
      <c r="Q77" s="131"/>
    </row>
    <row r="78" spans="1:17" s="130" customFormat="1" x14ac:dyDescent="0.25">
      <c r="A78" s="169"/>
      <c r="B78" s="170"/>
      <c r="C78" s="171"/>
      <c r="E78" s="134"/>
      <c r="F78" s="134"/>
      <c r="G78" s="134"/>
      <c r="H78" s="135"/>
      <c r="I78" s="135"/>
      <c r="J78" s="135"/>
      <c r="K78" s="135"/>
      <c r="L78" s="168"/>
      <c r="M78" s="133"/>
      <c r="O78" s="131"/>
      <c r="P78" s="131"/>
      <c r="Q78" s="131"/>
    </row>
    <row r="79" spans="1:17" s="130" customFormat="1" x14ac:dyDescent="0.25">
      <c r="A79" s="169"/>
      <c r="B79" s="170"/>
      <c r="C79" s="171"/>
      <c r="E79" s="134"/>
      <c r="F79" s="134"/>
      <c r="G79" s="134"/>
      <c r="H79" s="135"/>
      <c r="I79" s="135"/>
      <c r="J79" s="135"/>
      <c r="K79" s="135"/>
      <c r="L79" s="168"/>
      <c r="M79" s="133"/>
      <c r="O79" s="131"/>
      <c r="P79" s="131"/>
      <c r="Q79" s="131"/>
    </row>
    <row r="80" spans="1:17" s="130" customFormat="1" x14ac:dyDescent="0.25">
      <c r="A80" s="169"/>
      <c r="B80" s="170"/>
      <c r="C80" s="171"/>
      <c r="E80" s="134"/>
      <c r="F80" s="134"/>
      <c r="G80" s="134"/>
      <c r="H80" s="135"/>
      <c r="I80" s="135"/>
      <c r="J80" s="135"/>
      <c r="K80" s="135"/>
      <c r="L80" s="168"/>
      <c r="M80" s="133"/>
      <c r="O80" s="131"/>
      <c r="P80" s="131"/>
      <c r="Q80" s="131"/>
    </row>
    <row r="81" spans="1:17" s="130" customFormat="1" x14ac:dyDescent="0.25">
      <c r="A81" s="169"/>
      <c r="B81" s="170"/>
      <c r="C81" s="171"/>
      <c r="E81" s="134"/>
      <c r="F81" s="134"/>
      <c r="G81" s="134"/>
      <c r="H81" s="135"/>
      <c r="I81" s="135"/>
      <c r="J81" s="135"/>
      <c r="K81" s="135"/>
      <c r="L81" s="168"/>
      <c r="M81" s="133"/>
      <c r="O81" s="131"/>
      <c r="P81" s="131"/>
      <c r="Q81" s="131"/>
    </row>
    <row r="82" spans="1:17" s="130" customFormat="1" x14ac:dyDescent="0.25">
      <c r="A82" s="169"/>
      <c r="B82" s="170"/>
      <c r="C82" s="171"/>
      <c r="E82" s="134"/>
      <c r="F82" s="134"/>
      <c r="G82" s="134"/>
      <c r="H82" s="135"/>
      <c r="I82" s="135"/>
      <c r="J82" s="135"/>
      <c r="K82" s="135"/>
      <c r="L82" s="168"/>
      <c r="M82" s="133"/>
      <c r="O82" s="131"/>
      <c r="P82" s="131"/>
      <c r="Q82" s="131"/>
    </row>
    <row r="83" spans="1:17" s="130" customFormat="1" x14ac:dyDescent="0.25">
      <c r="A83" s="169"/>
      <c r="B83" s="170"/>
      <c r="C83" s="171"/>
      <c r="E83" s="134"/>
      <c r="F83" s="134"/>
      <c r="G83" s="134"/>
      <c r="H83" s="135"/>
      <c r="I83" s="135"/>
      <c r="J83" s="135"/>
      <c r="K83" s="135"/>
      <c r="L83" s="168"/>
      <c r="M83" s="133"/>
      <c r="O83" s="131"/>
      <c r="P83" s="131"/>
      <c r="Q83" s="131"/>
    </row>
    <row r="84" spans="1:17" s="130" customFormat="1" x14ac:dyDescent="0.25">
      <c r="A84" s="169"/>
      <c r="B84" s="170"/>
      <c r="C84" s="171"/>
      <c r="E84" s="134"/>
      <c r="F84" s="134"/>
      <c r="G84" s="134"/>
      <c r="H84" s="135"/>
      <c r="I84" s="135"/>
      <c r="J84" s="135"/>
      <c r="K84" s="135"/>
      <c r="L84" s="168"/>
      <c r="M84" s="133"/>
      <c r="O84" s="131"/>
      <c r="P84" s="131"/>
      <c r="Q84" s="131"/>
    </row>
    <row r="85" spans="1:17" s="130" customFormat="1" x14ac:dyDescent="0.25">
      <c r="A85" s="169"/>
      <c r="B85" s="170"/>
      <c r="C85" s="171"/>
      <c r="E85" s="134"/>
      <c r="F85" s="134"/>
      <c r="G85" s="134"/>
      <c r="H85" s="135"/>
      <c r="I85" s="135"/>
      <c r="J85" s="135"/>
      <c r="K85" s="135"/>
      <c r="L85" s="168"/>
      <c r="M85" s="133"/>
      <c r="O85" s="131"/>
      <c r="P85" s="131"/>
      <c r="Q85" s="131"/>
    </row>
    <row r="86" spans="1:17" s="130" customFormat="1" x14ac:dyDescent="0.25">
      <c r="A86" s="169"/>
      <c r="B86" s="170"/>
      <c r="C86" s="171"/>
      <c r="E86" s="134"/>
      <c r="F86" s="134"/>
      <c r="G86" s="134"/>
      <c r="H86" s="135"/>
      <c r="I86" s="135"/>
      <c r="J86" s="135"/>
      <c r="K86" s="135"/>
      <c r="L86" s="168"/>
      <c r="M86" s="133"/>
      <c r="O86" s="131"/>
      <c r="P86" s="131"/>
      <c r="Q86" s="131"/>
    </row>
    <row r="87" spans="1:17" s="130" customFormat="1" x14ac:dyDescent="0.25">
      <c r="A87" s="169"/>
      <c r="B87" s="170"/>
      <c r="C87" s="171"/>
      <c r="E87" s="134"/>
      <c r="F87" s="134"/>
      <c r="G87" s="134"/>
      <c r="H87" s="135"/>
      <c r="I87" s="135"/>
      <c r="J87" s="135"/>
      <c r="K87" s="135"/>
      <c r="L87" s="168"/>
      <c r="M87" s="133"/>
      <c r="O87" s="131"/>
      <c r="P87" s="131"/>
      <c r="Q87" s="131"/>
    </row>
    <row r="88" spans="1:17" s="130" customFormat="1" x14ac:dyDescent="0.25">
      <c r="A88" s="169"/>
      <c r="B88" s="170"/>
      <c r="C88" s="171"/>
      <c r="E88" s="134"/>
      <c r="F88" s="134"/>
      <c r="G88" s="134"/>
      <c r="H88" s="135"/>
      <c r="I88" s="135"/>
      <c r="J88" s="135"/>
      <c r="K88" s="135"/>
      <c r="L88" s="168"/>
      <c r="M88" s="133"/>
      <c r="O88" s="131"/>
      <c r="P88" s="131"/>
      <c r="Q88" s="131"/>
    </row>
    <row r="89" spans="1:17" s="130" customFormat="1" x14ac:dyDescent="0.25">
      <c r="A89" s="169"/>
      <c r="B89" s="170"/>
      <c r="C89" s="171"/>
      <c r="E89" s="134"/>
      <c r="F89" s="134"/>
      <c r="G89" s="134"/>
      <c r="H89" s="135"/>
      <c r="I89" s="135"/>
      <c r="J89" s="135"/>
      <c r="K89" s="135"/>
      <c r="L89" s="168"/>
      <c r="M89" s="133"/>
      <c r="O89" s="131"/>
      <c r="P89" s="131"/>
      <c r="Q89" s="131"/>
    </row>
    <row r="90" spans="1:17" s="130" customFormat="1" x14ac:dyDescent="0.25">
      <c r="A90" s="169"/>
      <c r="B90" s="170"/>
      <c r="C90" s="171"/>
      <c r="E90" s="134"/>
      <c r="F90" s="134"/>
      <c r="G90" s="134"/>
      <c r="H90" s="135"/>
      <c r="I90" s="135"/>
      <c r="J90" s="135"/>
      <c r="K90" s="135"/>
      <c r="L90" s="168"/>
      <c r="M90" s="133"/>
      <c r="O90" s="131"/>
      <c r="P90" s="131"/>
      <c r="Q90" s="131"/>
    </row>
    <row r="91" spans="1:17" s="130" customFormat="1" x14ac:dyDescent="0.25">
      <c r="A91" s="169"/>
      <c r="B91" s="170"/>
      <c r="C91" s="171"/>
      <c r="E91" s="134"/>
      <c r="F91" s="134"/>
      <c r="G91" s="134"/>
      <c r="H91" s="135"/>
      <c r="I91" s="135"/>
      <c r="J91" s="135"/>
      <c r="K91" s="135"/>
      <c r="L91" s="168"/>
      <c r="M91" s="133"/>
      <c r="O91" s="131"/>
      <c r="P91" s="131"/>
      <c r="Q91" s="131"/>
    </row>
    <row r="92" spans="1:17" s="130" customFormat="1" x14ac:dyDescent="0.25">
      <c r="A92" s="169"/>
      <c r="B92" s="170"/>
      <c r="C92" s="171"/>
      <c r="E92" s="134"/>
      <c r="F92" s="134"/>
      <c r="G92" s="134"/>
      <c r="H92" s="135"/>
      <c r="I92" s="135"/>
      <c r="J92" s="135"/>
      <c r="K92" s="135"/>
      <c r="L92" s="168"/>
      <c r="M92" s="133"/>
      <c r="O92" s="131"/>
      <c r="P92" s="131"/>
      <c r="Q92" s="131"/>
    </row>
    <row r="93" spans="1:17" s="130" customFormat="1" x14ac:dyDescent="0.25">
      <c r="A93" s="169"/>
      <c r="B93" s="170"/>
      <c r="C93" s="171"/>
      <c r="E93" s="134"/>
      <c r="F93" s="134"/>
      <c r="G93" s="134"/>
      <c r="H93" s="135"/>
      <c r="I93" s="135"/>
      <c r="J93" s="135"/>
      <c r="K93" s="135"/>
      <c r="L93" s="168"/>
      <c r="M93" s="133"/>
      <c r="O93" s="131"/>
      <c r="P93" s="131"/>
      <c r="Q93" s="131"/>
    </row>
    <row r="94" spans="1:17" s="130" customFormat="1" x14ac:dyDescent="0.25">
      <c r="A94" s="169"/>
      <c r="B94" s="170"/>
      <c r="C94" s="171"/>
      <c r="E94" s="134"/>
      <c r="F94" s="134"/>
      <c r="G94" s="134"/>
      <c r="H94" s="135"/>
      <c r="I94" s="135"/>
      <c r="J94" s="135"/>
      <c r="K94" s="135"/>
      <c r="L94" s="168"/>
      <c r="M94" s="133"/>
      <c r="O94" s="131"/>
      <c r="P94" s="131"/>
      <c r="Q94" s="131"/>
    </row>
    <row r="95" spans="1:17" s="130" customFormat="1" x14ac:dyDescent="0.25">
      <c r="A95" s="169"/>
      <c r="B95" s="170"/>
      <c r="C95" s="171"/>
      <c r="E95" s="134"/>
      <c r="F95" s="134"/>
      <c r="G95" s="134"/>
      <c r="H95" s="135"/>
      <c r="I95" s="135"/>
      <c r="J95" s="135"/>
      <c r="K95" s="135"/>
      <c r="L95" s="168"/>
      <c r="M95" s="133"/>
      <c r="O95" s="131"/>
      <c r="P95" s="131"/>
      <c r="Q95" s="131"/>
    </row>
    <row r="96" spans="1:17" s="130" customFormat="1" x14ac:dyDescent="0.25">
      <c r="A96" s="169"/>
      <c r="B96" s="170"/>
      <c r="C96" s="171"/>
      <c r="E96" s="134"/>
      <c r="F96" s="134"/>
      <c r="G96" s="134"/>
      <c r="H96" s="135"/>
      <c r="I96" s="135"/>
      <c r="J96" s="135"/>
      <c r="K96" s="135"/>
      <c r="L96" s="168"/>
      <c r="M96" s="133"/>
      <c r="O96" s="131"/>
      <c r="P96" s="131"/>
      <c r="Q96" s="131"/>
    </row>
    <row r="97" spans="1:17" s="130" customFormat="1" x14ac:dyDescent="0.25">
      <c r="A97" s="169"/>
      <c r="B97" s="170"/>
      <c r="C97" s="171"/>
      <c r="E97" s="134"/>
      <c r="F97" s="134"/>
      <c r="G97" s="134"/>
      <c r="H97" s="135"/>
      <c r="I97" s="135"/>
      <c r="J97" s="135"/>
      <c r="K97" s="135"/>
      <c r="L97" s="168"/>
      <c r="M97" s="133"/>
      <c r="O97" s="131"/>
      <c r="P97" s="131"/>
      <c r="Q97" s="131"/>
    </row>
    <row r="98" spans="1:17" s="130" customFormat="1" x14ac:dyDescent="0.25">
      <c r="A98" s="169"/>
      <c r="B98" s="170"/>
      <c r="C98" s="171"/>
      <c r="E98" s="134"/>
      <c r="F98" s="134"/>
      <c r="G98" s="134"/>
      <c r="H98" s="135"/>
      <c r="I98" s="135"/>
      <c r="J98" s="135"/>
      <c r="K98" s="135"/>
      <c r="L98" s="168"/>
      <c r="M98" s="133"/>
      <c r="O98" s="131"/>
      <c r="P98" s="131"/>
      <c r="Q98" s="131"/>
    </row>
    <row r="99" spans="1:17" s="130" customFormat="1" x14ac:dyDescent="0.25">
      <c r="A99" s="169"/>
      <c r="B99" s="170"/>
      <c r="C99" s="171"/>
      <c r="E99" s="134"/>
      <c r="F99" s="134"/>
      <c r="G99" s="134"/>
      <c r="H99" s="135"/>
      <c r="I99" s="135"/>
      <c r="J99" s="135"/>
      <c r="K99" s="135"/>
      <c r="L99" s="168"/>
      <c r="M99" s="133"/>
      <c r="O99" s="131"/>
      <c r="P99" s="131"/>
      <c r="Q99" s="131"/>
    </row>
    <row r="100" spans="1:17" s="130" customFormat="1" x14ac:dyDescent="0.25">
      <c r="A100" s="169"/>
      <c r="B100" s="170"/>
      <c r="C100" s="171"/>
      <c r="E100" s="134"/>
      <c r="F100" s="134"/>
      <c r="G100" s="134"/>
      <c r="H100" s="135"/>
      <c r="I100" s="135"/>
      <c r="J100" s="135"/>
      <c r="K100" s="135"/>
      <c r="L100" s="168"/>
      <c r="M100" s="133"/>
      <c r="O100" s="131"/>
      <c r="P100" s="131"/>
      <c r="Q100" s="131"/>
    </row>
    <row r="101" spans="1:17" s="130" customFormat="1" x14ac:dyDescent="0.25">
      <c r="A101" s="169"/>
      <c r="B101" s="170"/>
      <c r="C101" s="171"/>
      <c r="E101" s="134"/>
      <c r="F101" s="134"/>
      <c r="G101" s="134"/>
      <c r="H101" s="135"/>
      <c r="I101" s="135"/>
      <c r="J101" s="135"/>
      <c r="K101" s="135"/>
      <c r="L101" s="168"/>
      <c r="M101" s="133"/>
      <c r="O101" s="131"/>
      <c r="P101" s="131"/>
      <c r="Q101" s="131"/>
    </row>
    <row r="102" spans="1:17" s="130" customFormat="1" x14ac:dyDescent="0.25">
      <c r="A102" s="169"/>
      <c r="B102" s="170"/>
      <c r="C102" s="171"/>
      <c r="E102" s="134"/>
      <c r="F102" s="134"/>
      <c r="G102" s="134"/>
      <c r="H102" s="135"/>
      <c r="I102" s="135"/>
      <c r="J102" s="135"/>
      <c r="K102" s="135"/>
      <c r="L102" s="168"/>
      <c r="M102" s="133"/>
      <c r="O102" s="131"/>
      <c r="P102" s="131"/>
      <c r="Q102" s="131"/>
    </row>
    <row r="103" spans="1:17" s="130" customFormat="1" x14ac:dyDescent="0.25">
      <c r="A103" s="169"/>
      <c r="B103" s="170"/>
      <c r="C103" s="171"/>
      <c r="E103" s="134"/>
      <c r="F103" s="134"/>
      <c r="G103" s="134"/>
      <c r="H103" s="135"/>
      <c r="I103" s="135"/>
      <c r="J103" s="135"/>
      <c r="K103" s="135"/>
      <c r="L103" s="168"/>
      <c r="M103" s="133"/>
      <c r="O103" s="131"/>
      <c r="P103" s="131"/>
      <c r="Q103" s="131"/>
    </row>
    <row r="104" spans="1:17" s="130" customFormat="1" x14ac:dyDescent="0.25">
      <c r="A104" s="169"/>
      <c r="B104" s="170"/>
      <c r="C104" s="171"/>
      <c r="E104" s="134"/>
      <c r="F104" s="134"/>
      <c r="G104" s="134"/>
      <c r="H104" s="135"/>
      <c r="I104" s="135"/>
      <c r="J104" s="135"/>
      <c r="K104" s="135"/>
      <c r="L104" s="168"/>
      <c r="M104" s="133"/>
      <c r="O104" s="131"/>
      <c r="P104" s="131"/>
      <c r="Q104" s="131"/>
    </row>
    <row r="105" spans="1:17" s="130" customFormat="1" x14ac:dyDescent="0.25">
      <c r="A105" s="169"/>
      <c r="B105" s="170"/>
      <c r="C105" s="171"/>
      <c r="E105" s="134"/>
      <c r="F105" s="134"/>
      <c r="G105" s="134"/>
      <c r="H105" s="135"/>
      <c r="I105" s="135"/>
      <c r="J105" s="135"/>
      <c r="K105" s="135"/>
      <c r="L105" s="168"/>
      <c r="M105" s="133"/>
      <c r="O105" s="131"/>
      <c r="P105" s="131"/>
      <c r="Q105" s="131"/>
    </row>
    <row r="106" spans="1:17" s="130" customFormat="1" x14ac:dyDescent="0.25">
      <c r="A106" s="169"/>
      <c r="B106" s="170"/>
      <c r="C106" s="171"/>
      <c r="E106" s="134"/>
      <c r="F106" s="134"/>
      <c r="G106" s="134"/>
      <c r="H106" s="135"/>
      <c r="I106" s="135"/>
      <c r="J106" s="135"/>
      <c r="K106" s="135"/>
      <c r="L106" s="168"/>
      <c r="M106" s="133"/>
      <c r="O106" s="131"/>
      <c r="P106" s="131"/>
      <c r="Q106" s="131"/>
    </row>
    <row r="107" spans="1:17" s="130" customFormat="1" x14ac:dyDescent="0.25">
      <c r="A107" s="169"/>
      <c r="B107" s="170"/>
      <c r="C107" s="171"/>
      <c r="E107" s="134"/>
      <c r="F107" s="134"/>
      <c r="G107" s="134"/>
      <c r="H107" s="135"/>
      <c r="I107" s="135"/>
      <c r="J107" s="135"/>
      <c r="K107" s="135"/>
      <c r="L107" s="168"/>
      <c r="M107" s="133"/>
      <c r="O107" s="131"/>
      <c r="P107" s="131"/>
      <c r="Q107" s="131"/>
    </row>
    <row r="108" spans="1:17" s="130" customFormat="1" x14ac:dyDescent="0.25">
      <c r="A108" s="169"/>
      <c r="B108" s="170"/>
      <c r="C108" s="171"/>
      <c r="E108" s="134"/>
      <c r="F108" s="134"/>
      <c r="G108" s="134"/>
      <c r="H108" s="135"/>
      <c r="I108" s="135"/>
      <c r="J108" s="135"/>
      <c r="K108" s="135"/>
      <c r="L108" s="168"/>
      <c r="M108" s="133"/>
      <c r="O108" s="131"/>
      <c r="P108" s="131"/>
      <c r="Q108" s="131"/>
    </row>
    <row r="109" spans="1:17" s="130" customFormat="1" x14ac:dyDescent="0.25">
      <c r="A109" s="169"/>
      <c r="B109" s="170"/>
      <c r="C109" s="171"/>
      <c r="E109" s="134"/>
      <c r="F109" s="134"/>
      <c r="G109" s="134"/>
      <c r="H109" s="135"/>
      <c r="I109" s="135"/>
      <c r="J109" s="135"/>
      <c r="K109" s="135"/>
      <c r="L109" s="168"/>
      <c r="M109" s="133"/>
      <c r="O109" s="131"/>
      <c r="P109" s="131"/>
      <c r="Q109" s="131"/>
    </row>
    <row r="110" spans="1:17" s="130" customFormat="1" x14ac:dyDescent="0.25">
      <c r="A110" s="169"/>
      <c r="B110" s="170"/>
      <c r="C110" s="171"/>
      <c r="E110" s="134"/>
      <c r="F110" s="134"/>
      <c r="G110" s="134"/>
      <c r="H110" s="135"/>
      <c r="I110" s="135"/>
      <c r="J110" s="135"/>
      <c r="K110" s="135"/>
      <c r="L110" s="168"/>
      <c r="M110" s="133"/>
      <c r="O110" s="131"/>
      <c r="P110" s="131"/>
      <c r="Q110" s="131"/>
    </row>
    <row r="111" spans="1:17" s="130" customFormat="1" x14ac:dyDescent="0.25">
      <c r="A111" s="169"/>
      <c r="B111" s="170"/>
      <c r="C111" s="171"/>
      <c r="E111" s="134"/>
      <c r="F111" s="134"/>
      <c r="G111" s="134"/>
      <c r="H111" s="135"/>
      <c r="I111" s="135"/>
      <c r="J111" s="135"/>
      <c r="K111" s="135"/>
      <c r="L111" s="168"/>
      <c r="M111" s="133"/>
      <c r="O111" s="131"/>
      <c r="P111" s="131"/>
      <c r="Q111" s="131"/>
    </row>
    <row r="112" spans="1:17" s="130" customFormat="1" x14ac:dyDescent="0.25">
      <c r="A112" s="169"/>
      <c r="B112" s="170"/>
      <c r="C112" s="171"/>
      <c r="E112" s="134"/>
      <c r="F112" s="134"/>
      <c r="G112" s="134"/>
      <c r="H112" s="135"/>
      <c r="I112" s="135"/>
      <c r="J112" s="135"/>
      <c r="K112" s="135"/>
      <c r="L112" s="168"/>
      <c r="M112" s="133"/>
      <c r="O112" s="131"/>
      <c r="P112" s="131"/>
      <c r="Q112" s="131"/>
    </row>
    <row r="113" spans="1:17" s="130" customFormat="1" x14ac:dyDescent="0.25">
      <c r="A113" s="169"/>
      <c r="B113" s="170"/>
      <c r="C113" s="171"/>
      <c r="E113" s="134"/>
      <c r="F113" s="134"/>
      <c r="G113" s="134"/>
      <c r="H113" s="135"/>
      <c r="I113" s="135"/>
      <c r="J113" s="135"/>
      <c r="K113" s="135"/>
      <c r="L113" s="168"/>
      <c r="M113" s="133"/>
      <c r="O113" s="131"/>
      <c r="P113" s="131"/>
      <c r="Q113" s="131"/>
    </row>
    <row r="114" spans="1:17" s="130" customFormat="1" x14ac:dyDescent="0.25">
      <c r="A114" s="169"/>
      <c r="B114" s="170"/>
      <c r="C114" s="171"/>
      <c r="E114" s="134"/>
      <c r="F114" s="134"/>
      <c r="G114" s="134"/>
      <c r="H114" s="135"/>
      <c r="I114" s="135"/>
      <c r="J114" s="135"/>
      <c r="K114" s="135"/>
      <c r="L114" s="168"/>
      <c r="M114" s="133"/>
      <c r="O114" s="131"/>
      <c r="P114" s="131"/>
      <c r="Q114" s="131"/>
    </row>
    <row r="115" spans="1:17" s="130" customFormat="1" x14ac:dyDescent="0.25">
      <c r="A115" s="169"/>
      <c r="B115" s="170"/>
      <c r="C115" s="171"/>
      <c r="E115" s="134"/>
      <c r="F115" s="134"/>
      <c r="G115" s="134"/>
      <c r="H115" s="135"/>
      <c r="I115" s="135"/>
      <c r="J115" s="135"/>
      <c r="K115" s="135"/>
      <c r="L115" s="168"/>
      <c r="M115" s="133"/>
      <c r="O115" s="131"/>
      <c r="P115" s="131"/>
      <c r="Q115" s="131"/>
    </row>
    <row r="116" spans="1:17" s="130" customFormat="1" x14ac:dyDescent="0.25">
      <c r="A116" s="169"/>
      <c r="B116" s="170"/>
      <c r="C116" s="171"/>
      <c r="E116" s="134"/>
      <c r="F116" s="134"/>
      <c r="G116" s="134"/>
      <c r="H116" s="135"/>
      <c r="I116" s="135"/>
      <c r="J116" s="135"/>
      <c r="K116" s="135"/>
      <c r="L116" s="168"/>
      <c r="M116" s="133"/>
      <c r="O116" s="131"/>
      <c r="P116" s="131"/>
      <c r="Q116" s="131"/>
    </row>
    <row r="117" spans="1:17" s="130" customFormat="1" x14ac:dyDescent="0.25">
      <c r="A117" s="169"/>
      <c r="B117" s="170"/>
      <c r="C117" s="171"/>
      <c r="E117" s="134"/>
      <c r="F117" s="134"/>
      <c r="G117" s="134"/>
      <c r="H117" s="135"/>
      <c r="I117" s="135"/>
      <c r="J117" s="135"/>
      <c r="K117" s="135"/>
      <c r="L117" s="168"/>
      <c r="M117" s="133"/>
      <c r="O117" s="131"/>
      <c r="P117" s="131"/>
      <c r="Q117" s="131"/>
    </row>
    <row r="118" spans="1:17" s="130" customFormat="1" x14ac:dyDescent="0.25">
      <c r="A118" s="169"/>
      <c r="B118" s="170"/>
      <c r="C118" s="171"/>
      <c r="E118" s="134"/>
      <c r="F118" s="134"/>
      <c r="G118" s="134"/>
      <c r="H118" s="135"/>
      <c r="I118" s="135"/>
      <c r="J118" s="135"/>
      <c r="K118" s="135"/>
      <c r="L118" s="168"/>
      <c r="M118" s="133"/>
      <c r="O118" s="131"/>
      <c r="P118" s="131"/>
      <c r="Q118" s="131"/>
    </row>
    <row r="119" spans="1:17" s="130" customFormat="1" x14ac:dyDescent="0.25">
      <c r="A119" s="169"/>
      <c r="B119" s="170"/>
      <c r="C119" s="171"/>
      <c r="E119" s="134"/>
      <c r="F119" s="134"/>
      <c r="G119" s="134"/>
      <c r="H119" s="135"/>
      <c r="I119" s="135"/>
      <c r="J119" s="135"/>
      <c r="K119" s="135"/>
      <c r="L119" s="168"/>
      <c r="M119" s="133"/>
      <c r="O119" s="131"/>
      <c r="P119" s="131"/>
      <c r="Q119" s="131"/>
    </row>
    <row r="120" spans="1:17" s="130" customFormat="1" x14ac:dyDescent="0.25">
      <c r="A120" s="169"/>
      <c r="B120" s="170"/>
      <c r="C120" s="171"/>
      <c r="E120" s="134"/>
      <c r="F120" s="134"/>
      <c r="G120" s="134"/>
      <c r="H120" s="135"/>
      <c r="I120" s="135"/>
      <c r="J120" s="135"/>
      <c r="K120" s="135"/>
      <c r="L120" s="168"/>
      <c r="M120" s="133"/>
      <c r="O120" s="131"/>
      <c r="P120" s="131"/>
      <c r="Q120" s="131"/>
    </row>
    <row r="121" spans="1:17" s="130" customFormat="1" x14ac:dyDescent="0.25">
      <c r="A121" s="169"/>
      <c r="B121" s="170"/>
      <c r="C121" s="171"/>
      <c r="E121" s="134"/>
      <c r="F121" s="134"/>
      <c r="G121" s="134"/>
      <c r="H121" s="135"/>
      <c r="I121" s="135"/>
      <c r="J121" s="135"/>
      <c r="K121" s="135"/>
      <c r="L121" s="168"/>
      <c r="M121" s="133"/>
      <c r="O121" s="131"/>
      <c r="P121" s="131"/>
      <c r="Q121" s="131"/>
    </row>
    <row r="122" spans="1:17" s="130" customFormat="1" x14ac:dyDescent="0.25">
      <c r="A122" s="169"/>
      <c r="B122" s="170"/>
      <c r="C122" s="171"/>
      <c r="E122" s="134"/>
      <c r="F122" s="134"/>
      <c r="G122" s="134"/>
      <c r="H122" s="135"/>
      <c r="I122" s="135"/>
      <c r="J122" s="135"/>
      <c r="K122" s="135"/>
      <c r="L122" s="168"/>
      <c r="M122" s="133"/>
      <c r="O122" s="131"/>
      <c r="P122" s="131"/>
      <c r="Q122" s="131"/>
    </row>
    <row r="123" spans="1:17" s="130" customFormat="1" x14ac:dyDescent="0.25">
      <c r="A123" s="169"/>
      <c r="B123" s="170"/>
      <c r="C123" s="171"/>
      <c r="E123" s="134"/>
      <c r="F123" s="134"/>
      <c r="G123" s="134"/>
      <c r="H123" s="135"/>
      <c r="I123" s="135"/>
      <c r="J123" s="135"/>
      <c r="K123" s="135"/>
      <c r="L123" s="168"/>
      <c r="M123" s="133"/>
      <c r="O123" s="131"/>
      <c r="P123" s="131"/>
      <c r="Q123" s="131"/>
    </row>
    <row r="124" spans="1:17" s="130" customFormat="1" x14ac:dyDescent="0.25">
      <c r="A124" s="169"/>
      <c r="B124" s="170"/>
      <c r="C124" s="171"/>
      <c r="E124" s="134"/>
      <c r="F124" s="134"/>
      <c r="G124" s="134"/>
      <c r="H124" s="135"/>
      <c r="I124" s="135"/>
      <c r="J124" s="135"/>
      <c r="K124" s="135"/>
      <c r="L124" s="168"/>
      <c r="M124" s="133"/>
      <c r="O124" s="131"/>
      <c r="P124" s="131"/>
      <c r="Q124" s="131"/>
    </row>
    <row r="125" spans="1:17" s="130" customFormat="1" x14ac:dyDescent="0.25">
      <c r="A125" s="169"/>
      <c r="B125" s="170"/>
      <c r="C125" s="171"/>
      <c r="E125" s="134"/>
      <c r="F125" s="134"/>
      <c r="G125" s="134"/>
      <c r="H125" s="135"/>
      <c r="I125" s="135"/>
      <c r="J125" s="135"/>
      <c r="K125" s="135"/>
      <c r="L125" s="168"/>
      <c r="M125" s="133"/>
      <c r="O125" s="131"/>
      <c r="P125" s="131"/>
      <c r="Q125" s="131"/>
    </row>
    <row r="126" spans="1:17" s="130" customFormat="1" x14ac:dyDescent="0.25">
      <c r="A126" s="169"/>
      <c r="B126" s="170"/>
      <c r="C126" s="171"/>
      <c r="E126" s="134"/>
      <c r="F126" s="134"/>
      <c r="G126" s="134"/>
      <c r="H126" s="135"/>
      <c r="I126" s="135"/>
      <c r="J126" s="135"/>
      <c r="K126" s="135"/>
      <c r="L126" s="168"/>
      <c r="M126" s="133"/>
      <c r="O126" s="131"/>
      <c r="P126" s="131"/>
      <c r="Q126" s="131"/>
    </row>
    <row r="127" spans="1:17" s="130" customFormat="1" x14ac:dyDescent="0.25">
      <c r="A127" s="169"/>
      <c r="B127" s="170"/>
      <c r="C127" s="171"/>
      <c r="E127" s="134"/>
      <c r="F127" s="134"/>
      <c r="G127" s="134"/>
      <c r="H127" s="135"/>
      <c r="I127" s="135"/>
      <c r="J127" s="135"/>
      <c r="K127" s="135"/>
      <c r="L127" s="168"/>
      <c r="M127" s="133"/>
      <c r="O127" s="131"/>
      <c r="P127" s="131"/>
      <c r="Q127" s="131"/>
    </row>
    <row r="128" spans="1:17" s="130" customFormat="1" x14ac:dyDescent="0.25">
      <c r="A128" s="169"/>
      <c r="B128" s="170"/>
      <c r="C128" s="171"/>
      <c r="E128" s="134"/>
      <c r="F128" s="134"/>
      <c r="G128" s="134"/>
      <c r="H128" s="135"/>
      <c r="I128" s="135"/>
      <c r="J128" s="135"/>
      <c r="K128" s="135"/>
      <c r="L128" s="168"/>
      <c r="M128" s="133"/>
      <c r="O128" s="131"/>
      <c r="P128" s="131"/>
      <c r="Q128" s="131"/>
    </row>
    <row r="129" spans="1:17" s="130" customFormat="1" x14ac:dyDescent="0.25">
      <c r="A129" s="169"/>
      <c r="B129" s="170"/>
      <c r="C129" s="171"/>
      <c r="E129" s="134"/>
      <c r="F129" s="134"/>
      <c r="G129" s="134"/>
      <c r="H129" s="135"/>
      <c r="I129" s="135"/>
      <c r="J129" s="135"/>
      <c r="K129" s="135"/>
      <c r="L129" s="168"/>
      <c r="M129" s="133"/>
      <c r="O129" s="131"/>
      <c r="P129" s="131"/>
      <c r="Q129" s="131"/>
    </row>
    <row r="130" spans="1:17" s="130" customFormat="1" x14ac:dyDescent="0.25">
      <c r="A130" s="169"/>
      <c r="B130" s="170"/>
      <c r="C130" s="171"/>
      <c r="E130" s="134"/>
      <c r="F130" s="134"/>
      <c r="G130" s="134"/>
      <c r="H130" s="135"/>
      <c r="I130" s="135"/>
      <c r="J130" s="135"/>
      <c r="K130" s="135"/>
      <c r="L130" s="168"/>
      <c r="M130" s="133"/>
      <c r="O130" s="131"/>
      <c r="P130" s="131"/>
      <c r="Q130" s="131"/>
    </row>
    <row r="131" spans="1:17" s="130" customFormat="1" x14ac:dyDescent="0.25">
      <c r="A131" s="169"/>
      <c r="B131" s="170"/>
      <c r="C131" s="171"/>
      <c r="E131" s="134"/>
      <c r="F131" s="134"/>
      <c r="G131" s="134"/>
      <c r="H131" s="135"/>
      <c r="I131" s="135"/>
      <c r="J131" s="135"/>
      <c r="K131" s="135"/>
      <c r="L131" s="168"/>
      <c r="M131" s="133"/>
      <c r="O131" s="131"/>
      <c r="P131" s="131"/>
      <c r="Q131" s="131"/>
    </row>
    <row r="132" spans="1:17" s="130" customFormat="1" x14ac:dyDescent="0.25">
      <c r="A132" s="169"/>
      <c r="B132" s="170"/>
      <c r="C132" s="171"/>
      <c r="E132" s="134"/>
      <c r="F132" s="134"/>
      <c r="G132" s="134"/>
      <c r="H132" s="135"/>
      <c r="I132" s="135"/>
      <c r="J132" s="135"/>
      <c r="K132" s="135"/>
      <c r="L132" s="168"/>
      <c r="M132" s="133"/>
      <c r="O132" s="131"/>
      <c r="P132" s="131"/>
      <c r="Q132" s="131"/>
    </row>
    <row r="133" spans="1:17" s="130" customFormat="1" x14ac:dyDescent="0.25">
      <c r="A133" s="169"/>
      <c r="B133" s="170"/>
      <c r="C133" s="171"/>
      <c r="E133" s="134"/>
      <c r="F133" s="134"/>
      <c r="G133" s="134"/>
      <c r="H133" s="135"/>
      <c r="I133" s="135"/>
      <c r="J133" s="135"/>
      <c r="K133" s="135"/>
      <c r="L133" s="168"/>
      <c r="M133" s="133"/>
      <c r="O133" s="131"/>
      <c r="P133" s="131"/>
      <c r="Q133" s="131"/>
    </row>
    <row r="134" spans="1:17" s="130" customFormat="1" x14ac:dyDescent="0.25">
      <c r="A134" s="169"/>
      <c r="B134" s="170"/>
      <c r="C134" s="171"/>
      <c r="E134" s="134"/>
      <c r="F134" s="134"/>
      <c r="G134" s="134"/>
      <c r="H134" s="135"/>
      <c r="I134" s="135"/>
      <c r="J134" s="135"/>
      <c r="K134" s="135"/>
      <c r="L134" s="168"/>
      <c r="M134" s="133"/>
      <c r="O134" s="131"/>
      <c r="P134" s="131"/>
      <c r="Q134" s="131"/>
    </row>
    <row r="135" spans="1:17" s="130" customFormat="1" x14ac:dyDescent="0.25">
      <c r="A135" s="169"/>
      <c r="B135" s="170"/>
      <c r="C135" s="171"/>
      <c r="E135" s="134"/>
      <c r="F135" s="134"/>
      <c r="G135" s="134"/>
      <c r="H135" s="135"/>
      <c r="I135" s="135"/>
      <c r="J135" s="135"/>
      <c r="K135" s="135"/>
      <c r="L135" s="168"/>
      <c r="M135" s="133"/>
      <c r="O135" s="131"/>
      <c r="P135" s="131"/>
      <c r="Q135" s="131"/>
    </row>
    <row r="136" spans="1:17" s="130" customFormat="1" x14ac:dyDescent="0.25">
      <c r="A136" s="169"/>
      <c r="B136" s="170"/>
      <c r="C136" s="171"/>
      <c r="E136" s="134"/>
      <c r="F136" s="134"/>
      <c r="G136" s="134"/>
      <c r="H136" s="135"/>
      <c r="I136" s="135"/>
      <c r="J136" s="135"/>
      <c r="K136" s="135"/>
      <c r="L136" s="168"/>
      <c r="M136" s="133"/>
      <c r="O136" s="131"/>
      <c r="P136" s="131"/>
      <c r="Q136" s="131"/>
    </row>
    <row r="137" spans="1:17" s="130" customFormat="1" x14ac:dyDescent="0.25">
      <c r="A137" s="169"/>
      <c r="B137" s="170"/>
      <c r="C137" s="171"/>
      <c r="E137" s="134"/>
      <c r="F137" s="134"/>
      <c r="G137" s="134"/>
      <c r="H137" s="135"/>
      <c r="I137" s="135"/>
      <c r="J137" s="135"/>
      <c r="K137" s="135"/>
      <c r="L137" s="168"/>
      <c r="M137" s="133"/>
      <c r="O137" s="131"/>
      <c r="P137" s="131"/>
      <c r="Q137" s="131"/>
    </row>
    <row r="138" spans="1:17" s="130" customFormat="1" x14ac:dyDescent="0.25">
      <c r="A138" s="169"/>
      <c r="B138" s="170"/>
      <c r="C138" s="171"/>
      <c r="E138" s="134"/>
      <c r="F138" s="134"/>
      <c r="G138" s="134"/>
      <c r="H138" s="135"/>
      <c r="I138" s="135"/>
      <c r="J138" s="135"/>
      <c r="K138" s="135"/>
      <c r="L138" s="168"/>
      <c r="M138" s="133"/>
      <c r="O138" s="131"/>
      <c r="P138" s="131"/>
      <c r="Q138" s="131"/>
    </row>
    <row r="139" spans="1:17" s="130" customFormat="1" x14ac:dyDescent="0.25">
      <c r="A139" s="169"/>
      <c r="B139" s="170"/>
      <c r="C139" s="171"/>
      <c r="E139" s="134"/>
      <c r="F139" s="134"/>
      <c r="G139" s="134"/>
      <c r="H139" s="135"/>
      <c r="I139" s="135"/>
      <c r="J139" s="135"/>
      <c r="K139" s="135"/>
      <c r="L139" s="168"/>
      <c r="M139" s="133"/>
      <c r="O139" s="131"/>
      <c r="P139" s="131"/>
      <c r="Q139" s="131"/>
    </row>
    <row r="140" spans="1:17" s="130" customFormat="1" x14ac:dyDescent="0.25">
      <c r="A140" s="169"/>
      <c r="B140" s="170"/>
      <c r="C140" s="171"/>
      <c r="E140" s="134"/>
      <c r="F140" s="134"/>
      <c r="G140" s="134"/>
      <c r="H140" s="135"/>
      <c r="I140" s="135"/>
      <c r="J140" s="135"/>
      <c r="K140" s="135"/>
      <c r="L140" s="168"/>
      <c r="M140" s="133"/>
      <c r="O140" s="131"/>
      <c r="P140" s="131"/>
      <c r="Q140" s="131"/>
    </row>
    <row r="141" spans="1:17" s="130" customFormat="1" x14ac:dyDescent="0.25">
      <c r="A141" s="169"/>
      <c r="B141" s="170"/>
      <c r="C141" s="171"/>
      <c r="E141" s="134"/>
      <c r="F141" s="134"/>
      <c r="G141" s="134"/>
      <c r="H141" s="135"/>
      <c r="I141" s="135"/>
      <c r="J141" s="135"/>
      <c r="K141" s="135"/>
      <c r="L141" s="168"/>
      <c r="M141" s="133"/>
      <c r="O141" s="131"/>
      <c r="P141" s="131"/>
      <c r="Q141" s="131"/>
    </row>
    <row r="142" spans="1:17" s="130" customFormat="1" x14ac:dyDescent="0.25">
      <c r="A142" s="169"/>
      <c r="B142" s="170"/>
      <c r="C142" s="171"/>
      <c r="E142" s="134"/>
      <c r="F142" s="134"/>
      <c r="G142" s="134"/>
      <c r="H142" s="135"/>
      <c r="I142" s="135"/>
      <c r="J142" s="135"/>
      <c r="K142" s="135"/>
      <c r="L142" s="168"/>
      <c r="M142" s="133"/>
      <c r="O142" s="131"/>
      <c r="P142" s="131"/>
      <c r="Q142" s="131"/>
    </row>
    <row r="143" spans="1:17" s="130" customFormat="1" x14ac:dyDescent="0.25">
      <c r="A143" s="169"/>
      <c r="B143" s="170"/>
      <c r="C143" s="171"/>
      <c r="E143" s="134"/>
      <c r="F143" s="134"/>
      <c r="G143" s="134"/>
      <c r="H143" s="135"/>
      <c r="I143" s="135"/>
      <c r="J143" s="135"/>
      <c r="K143" s="135"/>
      <c r="L143" s="168"/>
      <c r="M143" s="133"/>
      <c r="O143" s="131"/>
      <c r="P143" s="131"/>
      <c r="Q143" s="131"/>
    </row>
    <row r="144" spans="1:17" s="130" customFormat="1" x14ac:dyDescent="0.25">
      <c r="A144" s="169"/>
      <c r="B144" s="170"/>
      <c r="C144" s="171"/>
      <c r="E144" s="134"/>
      <c r="F144" s="134"/>
      <c r="G144" s="134"/>
      <c r="H144" s="135"/>
      <c r="I144" s="135"/>
      <c r="J144" s="135"/>
      <c r="K144" s="135"/>
      <c r="L144" s="168"/>
      <c r="M144" s="133"/>
      <c r="O144" s="131"/>
      <c r="P144" s="131"/>
      <c r="Q144" s="131"/>
    </row>
    <row r="145" spans="1:17" s="130" customFormat="1" x14ac:dyDescent="0.25">
      <c r="A145" s="169"/>
      <c r="B145" s="170"/>
      <c r="C145" s="171"/>
      <c r="E145" s="134"/>
      <c r="F145" s="134"/>
      <c r="G145" s="134"/>
      <c r="H145" s="135"/>
      <c r="I145" s="135"/>
      <c r="J145" s="135"/>
      <c r="K145" s="135"/>
      <c r="L145" s="168"/>
      <c r="M145" s="133"/>
      <c r="O145" s="131"/>
      <c r="P145" s="131"/>
      <c r="Q145" s="131"/>
    </row>
    <row r="146" spans="1:17" s="130" customFormat="1" x14ac:dyDescent="0.25">
      <c r="A146" s="169"/>
      <c r="B146" s="170"/>
      <c r="C146" s="171"/>
      <c r="E146" s="134"/>
      <c r="F146" s="134"/>
      <c r="G146" s="134"/>
      <c r="H146" s="135"/>
      <c r="I146" s="135"/>
      <c r="J146" s="135"/>
      <c r="K146" s="135"/>
      <c r="L146" s="168"/>
      <c r="M146" s="133"/>
      <c r="O146" s="131"/>
      <c r="P146" s="131"/>
      <c r="Q146" s="131"/>
    </row>
    <row r="147" spans="1:17" s="130" customFormat="1" x14ac:dyDescent="0.25">
      <c r="A147" s="169"/>
      <c r="B147" s="170"/>
      <c r="C147" s="171"/>
      <c r="E147" s="134"/>
      <c r="F147" s="134"/>
      <c r="G147" s="134"/>
      <c r="H147" s="135"/>
      <c r="I147" s="135"/>
      <c r="J147" s="135"/>
      <c r="K147" s="135"/>
      <c r="L147" s="168"/>
      <c r="M147" s="133"/>
      <c r="O147" s="131"/>
      <c r="P147" s="131"/>
      <c r="Q147" s="131"/>
    </row>
    <row r="148" spans="1:17" s="130" customFormat="1" x14ac:dyDescent="0.25">
      <c r="A148" s="169"/>
      <c r="B148" s="170"/>
      <c r="C148" s="171"/>
      <c r="E148" s="134"/>
      <c r="F148" s="134"/>
      <c r="G148" s="134"/>
      <c r="H148" s="135"/>
      <c r="I148" s="135"/>
      <c r="J148" s="135"/>
      <c r="K148" s="135"/>
      <c r="L148" s="168"/>
      <c r="M148" s="133"/>
      <c r="O148" s="131"/>
      <c r="P148" s="131"/>
      <c r="Q148" s="131"/>
    </row>
    <row r="149" spans="1:17" s="130" customFormat="1" x14ac:dyDescent="0.25">
      <c r="A149" s="169"/>
      <c r="B149" s="170"/>
      <c r="C149" s="171"/>
      <c r="E149" s="134"/>
      <c r="F149" s="134"/>
      <c r="G149" s="134"/>
      <c r="H149" s="135"/>
      <c r="I149" s="135"/>
      <c r="J149" s="135"/>
      <c r="K149" s="135"/>
      <c r="L149" s="168"/>
      <c r="M149" s="133"/>
      <c r="O149" s="131"/>
      <c r="P149" s="131"/>
      <c r="Q149" s="131"/>
    </row>
    <row r="150" spans="1:17" s="130" customFormat="1" x14ac:dyDescent="0.25">
      <c r="A150" s="169"/>
      <c r="B150" s="170"/>
      <c r="C150" s="171"/>
      <c r="E150" s="134"/>
      <c r="F150" s="134"/>
      <c r="G150" s="134"/>
      <c r="H150" s="135"/>
      <c r="I150" s="135"/>
      <c r="J150" s="135"/>
      <c r="K150" s="135"/>
      <c r="L150" s="168"/>
      <c r="M150" s="133"/>
      <c r="O150" s="131"/>
      <c r="P150" s="131"/>
      <c r="Q150" s="131"/>
    </row>
    <row r="151" spans="1:17" s="130" customFormat="1" x14ac:dyDescent="0.25">
      <c r="A151" s="169"/>
      <c r="B151" s="170"/>
      <c r="C151" s="171"/>
      <c r="E151" s="134"/>
      <c r="F151" s="134"/>
      <c r="G151" s="134"/>
      <c r="H151" s="135"/>
      <c r="I151" s="135"/>
      <c r="J151" s="135"/>
      <c r="K151" s="135"/>
      <c r="L151" s="168"/>
      <c r="M151" s="133"/>
      <c r="O151" s="131"/>
      <c r="P151" s="131"/>
      <c r="Q151" s="131"/>
    </row>
    <row r="152" spans="1:17" s="130" customFormat="1" x14ac:dyDescent="0.25">
      <c r="A152" s="169"/>
      <c r="B152" s="170"/>
      <c r="C152" s="171"/>
      <c r="E152" s="134"/>
      <c r="F152" s="134"/>
      <c r="G152" s="134"/>
      <c r="H152" s="135"/>
      <c r="I152" s="135"/>
      <c r="J152" s="135"/>
      <c r="K152" s="135"/>
      <c r="L152" s="168"/>
      <c r="M152" s="133"/>
      <c r="O152" s="131"/>
      <c r="P152" s="131"/>
      <c r="Q152" s="131"/>
    </row>
    <row r="153" spans="1:17" s="130" customFormat="1" x14ac:dyDescent="0.25">
      <c r="A153" s="169"/>
      <c r="B153" s="170"/>
      <c r="C153" s="171"/>
      <c r="E153" s="134"/>
      <c r="F153" s="134"/>
      <c r="G153" s="134"/>
      <c r="H153" s="135"/>
      <c r="I153" s="135"/>
      <c r="J153" s="135"/>
      <c r="K153" s="135"/>
      <c r="L153" s="168"/>
      <c r="M153" s="133"/>
      <c r="O153" s="131"/>
      <c r="P153" s="131"/>
      <c r="Q153" s="131"/>
    </row>
  </sheetData>
  <sheetProtection password="FB6B" sheet="1" formatCells="0" formatColumns="0" formatRows="0"/>
  <mergeCells count="72">
    <mergeCell ref="A33:C33"/>
    <mergeCell ref="M1:N1"/>
    <mergeCell ref="M2:N2"/>
    <mergeCell ref="A1:C1"/>
    <mergeCell ref="C7:D7"/>
    <mergeCell ref="C5:D6"/>
    <mergeCell ref="E5:F5"/>
    <mergeCell ref="M5:N5"/>
    <mergeCell ref="G5:H5"/>
    <mergeCell ref="I5:J5"/>
    <mergeCell ref="K5:L5"/>
    <mergeCell ref="A3:N3"/>
    <mergeCell ref="A13:B13"/>
    <mergeCell ref="B17:D18"/>
    <mergeCell ref="A17:A18"/>
    <mergeCell ref="A14:B14"/>
    <mergeCell ref="A10:B10"/>
    <mergeCell ref="C10:D10"/>
    <mergeCell ref="C11:D11"/>
    <mergeCell ref="C12:D12"/>
    <mergeCell ref="A7:B7"/>
    <mergeCell ref="A11:B11"/>
    <mergeCell ref="A5:B6"/>
    <mergeCell ref="A8:B8"/>
    <mergeCell ref="A9:B9"/>
    <mergeCell ref="C8:D8"/>
    <mergeCell ref="C9:D9"/>
    <mergeCell ref="A24:D24"/>
    <mergeCell ref="A25:A26"/>
    <mergeCell ref="B20:D20"/>
    <mergeCell ref="M16:N16"/>
    <mergeCell ref="B23:D23"/>
    <mergeCell ref="E17:E18"/>
    <mergeCell ref="B19:D19"/>
    <mergeCell ref="B21:D21"/>
    <mergeCell ref="B22:D22"/>
    <mergeCell ref="N17:N18"/>
    <mergeCell ref="I17:I18"/>
    <mergeCell ref="J17:J18"/>
    <mergeCell ref="K17:K18"/>
    <mergeCell ref="L17:M17"/>
    <mergeCell ref="N25:N26"/>
    <mergeCell ref="A39:B39"/>
    <mergeCell ref="C39:G39"/>
    <mergeCell ref="A38:B38"/>
    <mergeCell ref="C38:G38"/>
    <mergeCell ref="A12:B12"/>
    <mergeCell ref="C13:D13"/>
    <mergeCell ref="C14:D14"/>
    <mergeCell ref="C15:D15"/>
    <mergeCell ref="F17:F18"/>
    <mergeCell ref="A31:K31"/>
    <mergeCell ref="A30:M30"/>
    <mergeCell ref="A29:M29"/>
    <mergeCell ref="A15:B15"/>
    <mergeCell ref="I25:I26"/>
    <mergeCell ref="J25:J26"/>
    <mergeCell ref="G17:H17"/>
    <mergeCell ref="B27:D27"/>
    <mergeCell ref="B28:D28"/>
    <mergeCell ref="G25:G26"/>
    <mergeCell ref="H25:H26"/>
    <mergeCell ref="K25:K26"/>
    <mergeCell ref="B25:D26"/>
    <mergeCell ref="E25:E26"/>
    <mergeCell ref="F25:F26"/>
    <mergeCell ref="J35:K35"/>
    <mergeCell ref="A37:B37"/>
    <mergeCell ref="C37:G37"/>
    <mergeCell ref="A35:B36"/>
    <mergeCell ref="C35:G36"/>
    <mergeCell ref="H35:I35"/>
  </mergeCells>
  <hyperlinks>
    <hyperlink ref="A32" r:id="rId1" xr:uid="{00000000-0004-0000-0400-000000000000}"/>
  </hyperlinks>
  <pageMargins left="0.19685039370078741" right="0.27559055118110237" top="0.59055118110236227" bottom="0.35433070866141736" header="0.39370078740157483" footer="0.31496062992125984"/>
  <pageSetup paperSize="9" scale="43" orientation="landscape" r:id="rId2"/>
  <headerFooter alignWithMargins="0">
    <oddFooter>&amp;RСтор.  &amp;P</oddFooter>
  </headerFooter>
  <rowBreaks count="2" manualBreakCount="2">
    <brk id="32" max="21" man="1"/>
    <brk id="45" max="21" man="1"/>
  </rowBreaks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Аркуш7">
    <tabColor rgb="FF92D050"/>
  </sheetPr>
  <dimension ref="A1:AK129"/>
  <sheetViews>
    <sheetView showGridLines="0" view="pageBreakPreview" topLeftCell="A38" zoomScale="90" zoomScaleNormal="60" zoomScaleSheetLayoutView="90" zoomScalePageLayoutView="50" workbookViewId="0">
      <selection activeCell="H61" sqref="H61"/>
    </sheetView>
  </sheetViews>
  <sheetFormatPr defaultRowHeight="18.75" x14ac:dyDescent="0.25"/>
  <cols>
    <col min="1" max="1" width="41.5703125" style="2" customWidth="1"/>
    <col min="2" max="2" width="17.42578125" style="145" customWidth="1"/>
    <col min="3" max="3" width="13.5703125" style="145" customWidth="1"/>
    <col min="4" max="4" width="17.5703125" style="145" customWidth="1"/>
    <col min="5" max="5" width="21.42578125" style="4" customWidth="1"/>
    <col min="6" max="6" width="21.42578125" style="332" customWidth="1"/>
    <col min="7" max="7" width="28.140625" style="4" customWidth="1"/>
    <col min="8" max="8" width="21" style="4" customWidth="1"/>
    <col min="9" max="9" width="18" style="68" customWidth="1"/>
    <col min="10" max="10" width="27.140625" style="68" customWidth="1"/>
    <col min="11" max="11" width="16.140625" style="130" customWidth="1"/>
    <col min="12" max="37" width="8.85546875" style="130"/>
    <col min="38" max="234" width="8.85546875" style="2"/>
    <col min="235" max="235" width="78.5703125" style="2" customWidth="1"/>
    <col min="236" max="238" width="19.42578125" style="2" customWidth="1"/>
    <col min="239" max="490" width="8.85546875" style="2"/>
    <col min="491" max="491" width="78.5703125" style="2" customWidth="1"/>
    <col min="492" max="494" width="19.42578125" style="2" customWidth="1"/>
    <col min="495" max="746" width="8.85546875" style="2"/>
    <col min="747" max="747" width="78.5703125" style="2" customWidth="1"/>
    <col min="748" max="750" width="19.42578125" style="2" customWidth="1"/>
    <col min="751" max="1002" width="8.85546875" style="2"/>
    <col min="1003" max="1003" width="78.5703125" style="2" customWidth="1"/>
    <col min="1004" max="1006" width="19.42578125" style="2" customWidth="1"/>
    <col min="1007" max="1258" width="8.85546875" style="2"/>
    <col min="1259" max="1259" width="78.5703125" style="2" customWidth="1"/>
    <col min="1260" max="1262" width="19.42578125" style="2" customWidth="1"/>
    <col min="1263" max="1514" width="8.85546875" style="2"/>
    <col min="1515" max="1515" width="78.5703125" style="2" customWidth="1"/>
    <col min="1516" max="1518" width="19.42578125" style="2" customWidth="1"/>
    <col min="1519" max="1770" width="8.85546875" style="2"/>
    <col min="1771" max="1771" width="78.5703125" style="2" customWidth="1"/>
    <col min="1772" max="1774" width="19.42578125" style="2" customWidth="1"/>
    <col min="1775" max="2026" width="8.85546875" style="2"/>
    <col min="2027" max="2027" width="78.5703125" style="2" customWidth="1"/>
    <col min="2028" max="2030" width="19.42578125" style="2" customWidth="1"/>
    <col min="2031" max="2282" width="8.85546875" style="2"/>
    <col min="2283" max="2283" width="78.5703125" style="2" customWidth="1"/>
    <col min="2284" max="2286" width="19.42578125" style="2" customWidth="1"/>
    <col min="2287" max="2538" width="8.85546875" style="2"/>
    <col min="2539" max="2539" width="78.5703125" style="2" customWidth="1"/>
    <col min="2540" max="2542" width="19.42578125" style="2" customWidth="1"/>
    <col min="2543" max="2794" width="8.85546875" style="2"/>
    <col min="2795" max="2795" width="78.5703125" style="2" customWidth="1"/>
    <col min="2796" max="2798" width="19.42578125" style="2" customWidth="1"/>
    <col min="2799" max="3050" width="8.85546875" style="2"/>
    <col min="3051" max="3051" width="78.5703125" style="2" customWidth="1"/>
    <col min="3052" max="3054" width="19.42578125" style="2" customWidth="1"/>
    <col min="3055" max="3306" width="8.85546875" style="2"/>
    <col min="3307" max="3307" width="78.5703125" style="2" customWidth="1"/>
    <col min="3308" max="3310" width="19.42578125" style="2" customWidth="1"/>
    <col min="3311" max="3562" width="8.85546875" style="2"/>
    <col min="3563" max="3563" width="78.5703125" style="2" customWidth="1"/>
    <col min="3564" max="3566" width="19.42578125" style="2" customWidth="1"/>
    <col min="3567" max="3818" width="8.85546875" style="2"/>
    <col min="3819" max="3819" width="78.5703125" style="2" customWidth="1"/>
    <col min="3820" max="3822" width="19.42578125" style="2" customWidth="1"/>
    <col min="3823" max="4074" width="8.85546875" style="2"/>
    <col min="4075" max="4075" width="78.5703125" style="2" customWidth="1"/>
    <col min="4076" max="4078" width="19.42578125" style="2" customWidth="1"/>
    <col min="4079" max="4330" width="8.85546875" style="2"/>
    <col min="4331" max="4331" width="78.5703125" style="2" customWidth="1"/>
    <col min="4332" max="4334" width="19.42578125" style="2" customWidth="1"/>
    <col min="4335" max="4586" width="8.85546875" style="2"/>
    <col min="4587" max="4587" width="78.5703125" style="2" customWidth="1"/>
    <col min="4588" max="4590" width="19.42578125" style="2" customWidth="1"/>
    <col min="4591" max="4842" width="8.85546875" style="2"/>
    <col min="4843" max="4843" width="78.5703125" style="2" customWidth="1"/>
    <col min="4844" max="4846" width="19.42578125" style="2" customWidth="1"/>
    <col min="4847" max="5098" width="8.85546875" style="2"/>
    <col min="5099" max="5099" width="78.5703125" style="2" customWidth="1"/>
    <col min="5100" max="5102" width="19.42578125" style="2" customWidth="1"/>
    <col min="5103" max="5354" width="8.85546875" style="2"/>
    <col min="5355" max="5355" width="78.5703125" style="2" customWidth="1"/>
    <col min="5356" max="5358" width="19.42578125" style="2" customWidth="1"/>
    <col min="5359" max="5610" width="8.85546875" style="2"/>
    <col min="5611" max="5611" width="78.5703125" style="2" customWidth="1"/>
    <col min="5612" max="5614" width="19.42578125" style="2" customWidth="1"/>
    <col min="5615" max="5866" width="8.85546875" style="2"/>
    <col min="5867" max="5867" width="78.5703125" style="2" customWidth="1"/>
    <col min="5868" max="5870" width="19.42578125" style="2" customWidth="1"/>
    <col min="5871" max="6122" width="8.85546875" style="2"/>
    <col min="6123" max="6123" width="78.5703125" style="2" customWidth="1"/>
    <col min="6124" max="6126" width="19.42578125" style="2" customWidth="1"/>
    <col min="6127" max="6378" width="8.85546875" style="2"/>
    <col min="6379" max="6379" width="78.5703125" style="2" customWidth="1"/>
    <col min="6380" max="6382" width="19.42578125" style="2" customWidth="1"/>
    <col min="6383" max="6634" width="8.85546875" style="2"/>
    <col min="6635" max="6635" width="78.5703125" style="2" customWidth="1"/>
    <col min="6636" max="6638" width="19.42578125" style="2" customWidth="1"/>
    <col min="6639" max="6890" width="8.85546875" style="2"/>
    <col min="6891" max="6891" width="78.5703125" style="2" customWidth="1"/>
    <col min="6892" max="6894" width="19.42578125" style="2" customWidth="1"/>
    <col min="6895" max="7146" width="8.85546875" style="2"/>
    <col min="7147" max="7147" width="78.5703125" style="2" customWidth="1"/>
    <col min="7148" max="7150" width="19.42578125" style="2" customWidth="1"/>
    <col min="7151" max="7402" width="8.85546875" style="2"/>
    <col min="7403" max="7403" width="78.5703125" style="2" customWidth="1"/>
    <col min="7404" max="7406" width="19.42578125" style="2" customWidth="1"/>
    <col min="7407" max="7658" width="8.85546875" style="2"/>
    <col min="7659" max="7659" width="78.5703125" style="2" customWidth="1"/>
    <col min="7660" max="7662" width="19.42578125" style="2" customWidth="1"/>
    <col min="7663" max="7914" width="8.85546875" style="2"/>
    <col min="7915" max="7915" width="78.5703125" style="2" customWidth="1"/>
    <col min="7916" max="7918" width="19.42578125" style="2" customWidth="1"/>
    <col min="7919" max="8170" width="8.85546875" style="2"/>
    <col min="8171" max="8171" width="78.5703125" style="2" customWidth="1"/>
    <col min="8172" max="8174" width="19.42578125" style="2" customWidth="1"/>
    <col min="8175" max="8426" width="8.85546875" style="2"/>
    <col min="8427" max="8427" width="78.5703125" style="2" customWidth="1"/>
    <col min="8428" max="8430" width="19.42578125" style="2" customWidth="1"/>
    <col min="8431" max="8682" width="8.85546875" style="2"/>
    <col min="8683" max="8683" width="78.5703125" style="2" customWidth="1"/>
    <col min="8684" max="8686" width="19.42578125" style="2" customWidth="1"/>
    <col min="8687" max="8938" width="8.85546875" style="2"/>
    <col min="8939" max="8939" width="78.5703125" style="2" customWidth="1"/>
    <col min="8940" max="8942" width="19.42578125" style="2" customWidth="1"/>
    <col min="8943" max="9194" width="8.85546875" style="2"/>
    <col min="9195" max="9195" width="78.5703125" style="2" customWidth="1"/>
    <col min="9196" max="9198" width="19.42578125" style="2" customWidth="1"/>
    <col min="9199" max="9450" width="8.85546875" style="2"/>
    <col min="9451" max="9451" width="78.5703125" style="2" customWidth="1"/>
    <col min="9452" max="9454" width="19.42578125" style="2" customWidth="1"/>
    <col min="9455" max="9706" width="8.85546875" style="2"/>
    <col min="9707" max="9707" width="78.5703125" style="2" customWidth="1"/>
    <col min="9708" max="9710" width="19.42578125" style="2" customWidth="1"/>
    <col min="9711" max="9962" width="8.85546875" style="2"/>
    <col min="9963" max="9963" width="78.5703125" style="2" customWidth="1"/>
    <col min="9964" max="9966" width="19.42578125" style="2" customWidth="1"/>
    <col min="9967" max="10218" width="8.85546875" style="2"/>
    <col min="10219" max="10219" width="78.5703125" style="2" customWidth="1"/>
    <col min="10220" max="10222" width="19.42578125" style="2" customWidth="1"/>
    <col min="10223" max="10474" width="8.85546875" style="2"/>
    <col min="10475" max="10475" width="78.5703125" style="2" customWidth="1"/>
    <col min="10476" max="10478" width="19.42578125" style="2" customWidth="1"/>
    <col min="10479" max="10730" width="8.85546875" style="2"/>
    <col min="10731" max="10731" width="78.5703125" style="2" customWidth="1"/>
    <col min="10732" max="10734" width="19.42578125" style="2" customWidth="1"/>
    <col min="10735" max="10986" width="8.85546875" style="2"/>
    <col min="10987" max="10987" width="78.5703125" style="2" customWidth="1"/>
    <col min="10988" max="10990" width="19.42578125" style="2" customWidth="1"/>
    <col min="10991" max="11242" width="8.85546875" style="2"/>
    <col min="11243" max="11243" width="78.5703125" style="2" customWidth="1"/>
    <col min="11244" max="11246" width="19.42578125" style="2" customWidth="1"/>
    <col min="11247" max="11498" width="8.85546875" style="2"/>
    <col min="11499" max="11499" width="78.5703125" style="2" customWidth="1"/>
    <col min="11500" max="11502" width="19.42578125" style="2" customWidth="1"/>
    <col min="11503" max="11754" width="8.85546875" style="2"/>
    <col min="11755" max="11755" width="78.5703125" style="2" customWidth="1"/>
    <col min="11756" max="11758" width="19.42578125" style="2" customWidth="1"/>
    <col min="11759" max="12010" width="8.85546875" style="2"/>
    <col min="12011" max="12011" width="78.5703125" style="2" customWidth="1"/>
    <col min="12012" max="12014" width="19.42578125" style="2" customWidth="1"/>
    <col min="12015" max="12266" width="8.85546875" style="2"/>
    <col min="12267" max="12267" width="78.5703125" style="2" customWidth="1"/>
    <col min="12268" max="12270" width="19.42578125" style="2" customWidth="1"/>
    <col min="12271" max="12522" width="8.85546875" style="2"/>
    <col min="12523" max="12523" width="78.5703125" style="2" customWidth="1"/>
    <col min="12524" max="12526" width="19.42578125" style="2" customWidth="1"/>
    <col min="12527" max="12778" width="8.85546875" style="2"/>
    <col min="12779" max="12779" width="78.5703125" style="2" customWidth="1"/>
    <col min="12780" max="12782" width="19.42578125" style="2" customWidth="1"/>
    <col min="12783" max="13034" width="8.85546875" style="2"/>
    <col min="13035" max="13035" width="78.5703125" style="2" customWidth="1"/>
    <col min="13036" max="13038" width="19.42578125" style="2" customWidth="1"/>
    <col min="13039" max="13290" width="8.85546875" style="2"/>
    <col min="13291" max="13291" width="78.5703125" style="2" customWidth="1"/>
    <col min="13292" max="13294" width="19.42578125" style="2" customWidth="1"/>
    <col min="13295" max="13546" width="8.85546875" style="2"/>
    <col min="13547" max="13547" width="78.5703125" style="2" customWidth="1"/>
    <col min="13548" max="13550" width="19.42578125" style="2" customWidth="1"/>
    <col min="13551" max="13802" width="8.85546875" style="2"/>
    <col min="13803" max="13803" width="78.5703125" style="2" customWidth="1"/>
    <col min="13804" max="13806" width="19.42578125" style="2" customWidth="1"/>
    <col min="13807" max="14058" width="8.85546875" style="2"/>
    <col min="14059" max="14059" width="78.5703125" style="2" customWidth="1"/>
    <col min="14060" max="14062" width="19.42578125" style="2" customWidth="1"/>
    <col min="14063" max="14314" width="8.85546875" style="2"/>
    <col min="14315" max="14315" width="78.5703125" style="2" customWidth="1"/>
    <col min="14316" max="14318" width="19.42578125" style="2" customWidth="1"/>
    <col min="14319" max="14570" width="8.85546875" style="2"/>
    <col min="14571" max="14571" width="78.5703125" style="2" customWidth="1"/>
    <col min="14572" max="14574" width="19.42578125" style="2" customWidth="1"/>
    <col min="14575" max="14826" width="8.85546875" style="2"/>
    <col min="14827" max="14827" width="78.5703125" style="2" customWidth="1"/>
    <col min="14828" max="14830" width="19.42578125" style="2" customWidth="1"/>
    <col min="14831" max="15082" width="8.85546875" style="2"/>
    <col min="15083" max="15083" width="78.5703125" style="2" customWidth="1"/>
    <col min="15084" max="15086" width="19.42578125" style="2" customWidth="1"/>
    <col min="15087" max="15338" width="8.85546875" style="2"/>
    <col min="15339" max="15339" width="78.5703125" style="2" customWidth="1"/>
    <col min="15340" max="15342" width="19.42578125" style="2" customWidth="1"/>
    <col min="15343" max="15594" width="8.85546875" style="2"/>
    <col min="15595" max="15595" width="78.5703125" style="2" customWidth="1"/>
    <col min="15596" max="15598" width="19.42578125" style="2" customWidth="1"/>
    <col min="15599" max="15850" width="8.85546875" style="2"/>
    <col min="15851" max="15851" width="78.5703125" style="2" customWidth="1"/>
    <col min="15852" max="15854" width="19.42578125" style="2" customWidth="1"/>
    <col min="15855" max="16106" width="8.85546875" style="2"/>
    <col min="16107" max="16107" width="78.5703125" style="2" customWidth="1"/>
    <col min="16108" max="16110" width="19.42578125" style="2" customWidth="1"/>
    <col min="16111" max="16367" width="8.85546875" style="2"/>
    <col min="16368" max="16368" width="9.140625" style="2" customWidth="1"/>
    <col min="16369" max="16370" width="8.85546875" style="2"/>
    <col min="16371" max="16384" width="9.140625" style="2" customWidth="1"/>
  </cols>
  <sheetData>
    <row r="1" spans="1:37" ht="27" customHeight="1" x14ac:dyDescent="0.25">
      <c r="A1" s="1086" t="s">
        <v>0</v>
      </c>
      <c r="B1" s="1086"/>
      <c r="C1" s="1086"/>
      <c r="D1" s="336">
        <f>'Звіт 1,2,3'!D1</f>
        <v>37650571</v>
      </c>
      <c r="E1" s="337" t="s">
        <v>1</v>
      </c>
      <c r="F1" s="336">
        <f>'Звіт 1,2,3'!H1</f>
        <v>150</v>
      </c>
      <c r="G1" s="1"/>
      <c r="I1" s="1300" t="s">
        <v>3</v>
      </c>
      <c r="J1" s="1300"/>
      <c r="K1" s="131"/>
      <c r="L1" s="131"/>
      <c r="M1" s="131"/>
    </row>
    <row r="2" spans="1:37" ht="22.35" customHeight="1" x14ac:dyDescent="0.25">
      <c r="A2" s="26"/>
      <c r="B2" s="1"/>
      <c r="C2" s="2"/>
      <c r="E2" s="145"/>
      <c r="F2" s="111"/>
      <c r="G2" s="145"/>
      <c r="H2" s="145"/>
      <c r="I2" s="1301" t="s">
        <v>346</v>
      </c>
      <c r="J2" s="1301"/>
      <c r="K2" s="131"/>
      <c r="L2" s="131"/>
      <c r="M2" s="131"/>
    </row>
    <row r="3" spans="1:37" ht="32.450000000000003" customHeight="1" x14ac:dyDescent="0.25">
      <c r="A3" s="1085" t="str">
        <f>'Звіт 1,2,3'!A3:O3</f>
        <v>ЗВІТ ПРО ДОХОДИ ТА ВИТРАТИ за 1 півріччя 2020 року</v>
      </c>
      <c r="B3" s="1085"/>
      <c r="C3" s="1085"/>
      <c r="D3" s="1085"/>
      <c r="E3" s="1085"/>
      <c r="F3" s="1085"/>
      <c r="G3" s="1085"/>
      <c r="H3" s="1085"/>
      <c r="I3" s="1085"/>
      <c r="J3" s="1085"/>
      <c r="K3" s="131"/>
      <c r="L3" s="131"/>
      <c r="M3" s="131"/>
    </row>
    <row r="4" spans="1:37" ht="23.45" customHeight="1" x14ac:dyDescent="0.25">
      <c r="A4" s="17" t="s">
        <v>678</v>
      </c>
      <c r="B4" s="7"/>
      <c r="C4" s="7"/>
      <c r="D4" s="7"/>
      <c r="E4" s="145"/>
      <c r="F4" s="111"/>
      <c r="G4" s="145"/>
      <c r="H4" s="145"/>
    </row>
    <row r="5" spans="1:37" ht="20.45" customHeight="1" thickBot="1" x14ac:dyDescent="0.3">
      <c r="A5" s="17"/>
      <c r="B5" s="7"/>
      <c r="C5" s="7"/>
      <c r="D5" s="7"/>
      <c r="E5" s="145"/>
      <c r="F5" s="111"/>
      <c r="G5" s="145"/>
      <c r="J5" s="338" t="s">
        <v>405</v>
      </c>
    </row>
    <row r="6" spans="1:37" s="10" customFormat="1" ht="56.45" customHeight="1" x14ac:dyDescent="0.25">
      <c r="A6" s="1313" t="s">
        <v>100</v>
      </c>
      <c r="B6" s="1314"/>
      <c r="C6" s="1314"/>
      <c r="D6" s="427" t="s">
        <v>58</v>
      </c>
      <c r="E6" s="465" t="s">
        <v>101</v>
      </c>
      <c r="F6" s="543" t="s">
        <v>503</v>
      </c>
      <c r="G6" s="465" t="s">
        <v>504</v>
      </c>
      <c r="H6" s="465" t="s">
        <v>102</v>
      </c>
      <c r="I6" s="543" t="s">
        <v>503</v>
      </c>
      <c r="J6" s="466" t="s">
        <v>561</v>
      </c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</row>
    <row r="7" spans="1:37" s="10" customFormat="1" ht="23.25" customHeight="1" thickBot="1" x14ac:dyDescent="0.35">
      <c r="A7" s="1317">
        <v>1</v>
      </c>
      <c r="B7" s="1318"/>
      <c r="C7" s="1318"/>
      <c r="D7" s="547">
        <v>2</v>
      </c>
      <c r="E7" s="547">
        <v>3</v>
      </c>
      <c r="F7" s="547">
        <v>4</v>
      </c>
      <c r="G7" s="547">
        <v>5</v>
      </c>
      <c r="H7" s="547">
        <v>6</v>
      </c>
      <c r="I7" s="547">
        <v>7</v>
      </c>
      <c r="J7" s="559">
        <v>8</v>
      </c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</row>
    <row r="8" spans="1:37" s="10" customFormat="1" ht="21" customHeight="1" x14ac:dyDescent="0.25">
      <c r="A8" s="1319" t="s">
        <v>330</v>
      </c>
      <c r="B8" s="1320"/>
      <c r="C8" s="1320"/>
      <c r="D8" s="548"/>
      <c r="E8" s="548"/>
      <c r="F8" s="549"/>
      <c r="G8" s="548"/>
      <c r="H8" s="548"/>
      <c r="I8" s="550"/>
      <c r="J8" s="551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</row>
    <row r="9" spans="1:37" s="10" customFormat="1" ht="22.35" customHeight="1" x14ac:dyDescent="0.3">
      <c r="A9" s="1321" t="s">
        <v>103</v>
      </c>
      <c r="B9" s="1322"/>
      <c r="C9" s="1322"/>
      <c r="D9" s="46">
        <v>1000</v>
      </c>
      <c r="E9" s="182">
        <f t="shared" ref="E9:F9" si="0">E10+E11</f>
        <v>0</v>
      </c>
      <c r="F9" s="327">
        <f t="shared" si="0"/>
        <v>0</v>
      </c>
      <c r="G9" s="333">
        <f>E9+F9</f>
        <v>0</v>
      </c>
      <c r="H9" s="182">
        <f>H10+H11</f>
        <v>0</v>
      </c>
      <c r="I9" s="327">
        <f t="shared" ref="I9" si="1">I10+I11</f>
        <v>0</v>
      </c>
      <c r="J9" s="530">
        <f>H9+I9</f>
        <v>0</v>
      </c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</row>
    <row r="10" spans="1:37" s="10" customFormat="1" ht="22.35" customHeight="1" x14ac:dyDescent="0.3">
      <c r="A10" s="1323" t="s">
        <v>104</v>
      </c>
      <c r="B10" s="1324"/>
      <c r="C10" s="1324"/>
      <c r="D10" s="43">
        <v>1001</v>
      </c>
      <c r="E10" s="181">
        <v>0</v>
      </c>
      <c r="F10" s="181">
        <v>0</v>
      </c>
      <c r="G10" s="333">
        <f>E10+F10</f>
        <v>0</v>
      </c>
      <c r="H10" s="181">
        <v>0</v>
      </c>
      <c r="I10" s="181">
        <v>0</v>
      </c>
      <c r="J10" s="530">
        <f>H10+I10</f>
        <v>0</v>
      </c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</row>
    <row r="11" spans="1:37" s="10" customFormat="1" ht="22.35" customHeight="1" x14ac:dyDescent="0.3">
      <c r="A11" s="1323" t="s">
        <v>301</v>
      </c>
      <c r="B11" s="1324"/>
      <c r="C11" s="1324"/>
      <c r="D11" s="42">
        <v>1002</v>
      </c>
      <c r="E11" s="181">
        <v>0</v>
      </c>
      <c r="F11" s="181">
        <v>0</v>
      </c>
      <c r="G11" s="333">
        <f t="shared" ref="G11:G77" si="2">E11+F11</f>
        <v>0</v>
      </c>
      <c r="H11" s="181">
        <v>0</v>
      </c>
      <c r="I11" s="181">
        <v>0</v>
      </c>
      <c r="J11" s="530">
        <f t="shared" ref="J11:J79" si="3">H11+I11</f>
        <v>0</v>
      </c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</row>
    <row r="12" spans="1:37" s="10" customFormat="1" ht="22.35" customHeight="1" x14ac:dyDescent="0.3">
      <c r="A12" s="1315" t="s">
        <v>105</v>
      </c>
      <c r="B12" s="1316"/>
      <c r="C12" s="1316"/>
      <c r="D12" s="42">
        <v>1005</v>
      </c>
      <c r="E12" s="181">
        <v>0</v>
      </c>
      <c r="F12" s="181">
        <v>0</v>
      </c>
      <c r="G12" s="333">
        <f t="shared" si="2"/>
        <v>0</v>
      </c>
      <c r="H12" s="181">
        <v>0</v>
      </c>
      <c r="I12" s="181">
        <v>0</v>
      </c>
      <c r="J12" s="530">
        <f t="shared" si="3"/>
        <v>0</v>
      </c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</row>
    <row r="13" spans="1:37" s="10" customFormat="1" ht="22.35" customHeight="1" x14ac:dyDescent="0.3">
      <c r="A13" s="1321" t="s">
        <v>106</v>
      </c>
      <c r="B13" s="1322"/>
      <c r="C13" s="1322"/>
      <c r="D13" s="46">
        <v>1010</v>
      </c>
      <c r="E13" s="182">
        <f t="shared" ref="E13:F13" si="4">E14+E15</f>
        <v>6147.2000000000007</v>
      </c>
      <c r="F13" s="327">
        <f t="shared" si="4"/>
        <v>0</v>
      </c>
      <c r="G13" s="333">
        <f t="shared" si="2"/>
        <v>6147.2000000000007</v>
      </c>
      <c r="H13" s="182">
        <f t="shared" ref="H13" si="5">H14+H15</f>
        <v>5829.3000000000011</v>
      </c>
      <c r="I13" s="327">
        <f t="shared" ref="I13" si="6">I14+I15</f>
        <v>0</v>
      </c>
      <c r="J13" s="530">
        <f t="shared" si="3"/>
        <v>5829.3000000000011</v>
      </c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</row>
    <row r="14" spans="1:37" s="10" customFormat="1" ht="22.35" customHeight="1" x14ac:dyDescent="0.3">
      <c r="A14" s="1323" t="s">
        <v>104</v>
      </c>
      <c r="B14" s="1324"/>
      <c r="C14" s="1324"/>
      <c r="D14" s="43">
        <v>1011</v>
      </c>
      <c r="E14" s="181">
        <v>12305.7</v>
      </c>
      <c r="F14" s="181">
        <v>0</v>
      </c>
      <c r="G14" s="333">
        <f t="shared" si="2"/>
        <v>12305.7</v>
      </c>
      <c r="H14" s="181">
        <v>12305.7</v>
      </c>
      <c r="I14" s="181">
        <v>0</v>
      </c>
      <c r="J14" s="530">
        <f t="shared" si="3"/>
        <v>12305.7</v>
      </c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</row>
    <row r="15" spans="1:37" s="10" customFormat="1" ht="22.35" customHeight="1" x14ac:dyDescent="0.3">
      <c r="A15" s="1323" t="s">
        <v>302</v>
      </c>
      <c r="B15" s="1324"/>
      <c r="C15" s="1324"/>
      <c r="D15" s="43">
        <v>1012</v>
      </c>
      <c r="E15" s="181">
        <v>-6158.5</v>
      </c>
      <c r="F15" s="181">
        <v>0</v>
      </c>
      <c r="G15" s="333">
        <f t="shared" si="2"/>
        <v>-6158.5</v>
      </c>
      <c r="H15" s="181">
        <v>-6476.4</v>
      </c>
      <c r="I15" s="181">
        <v>0</v>
      </c>
      <c r="J15" s="530">
        <f t="shared" si="3"/>
        <v>-6476.4</v>
      </c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</row>
    <row r="16" spans="1:37" s="10" customFormat="1" ht="22.35" customHeight="1" x14ac:dyDescent="0.3">
      <c r="A16" s="1315" t="s">
        <v>107</v>
      </c>
      <c r="B16" s="1316"/>
      <c r="C16" s="1316"/>
      <c r="D16" s="42">
        <v>1015</v>
      </c>
      <c r="E16" s="181">
        <v>0</v>
      </c>
      <c r="F16" s="181">
        <v>0</v>
      </c>
      <c r="G16" s="333">
        <f t="shared" si="2"/>
        <v>0</v>
      </c>
      <c r="H16" s="181">
        <v>0</v>
      </c>
      <c r="I16" s="181">
        <v>0</v>
      </c>
      <c r="J16" s="530">
        <f t="shared" si="3"/>
        <v>0</v>
      </c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</row>
    <row r="17" spans="1:37" s="10" customFormat="1" ht="24" customHeight="1" x14ac:dyDescent="0.3">
      <c r="A17" s="1315" t="s">
        <v>108</v>
      </c>
      <c r="B17" s="1316"/>
      <c r="C17" s="1316"/>
      <c r="D17" s="42">
        <v>1020</v>
      </c>
      <c r="E17" s="181">
        <v>0</v>
      </c>
      <c r="F17" s="181">
        <v>0</v>
      </c>
      <c r="G17" s="333">
        <f t="shared" si="2"/>
        <v>0</v>
      </c>
      <c r="H17" s="181">
        <v>0</v>
      </c>
      <c r="I17" s="181">
        <v>0</v>
      </c>
      <c r="J17" s="530">
        <f t="shared" si="3"/>
        <v>0</v>
      </c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</row>
    <row r="18" spans="1:37" s="10" customFormat="1" ht="21.6" customHeight="1" x14ac:dyDescent="0.3">
      <c r="A18" s="1315" t="s">
        <v>331</v>
      </c>
      <c r="B18" s="1316"/>
      <c r="C18" s="1316"/>
      <c r="D18" s="42"/>
      <c r="E18" s="181"/>
      <c r="F18" s="181"/>
      <c r="G18" s="333"/>
      <c r="H18" s="181"/>
      <c r="I18" s="181"/>
      <c r="J18" s="530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</row>
    <row r="19" spans="1:37" s="10" customFormat="1" ht="38.1" customHeight="1" x14ac:dyDescent="0.3">
      <c r="A19" s="1325" t="s">
        <v>109</v>
      </c>
      <c r="B19" s="1326"/>
      <c r="C19" s="1326"/>
      <c r="D19" s="42">
        <v>1030</v>
      </c>
      <c r="E19" s="181">
        <v>0</v>
      </c>
      <c r="F19" s="181">
        <v>0</v>
      </c>
      <c r="G19" s="333">
        <f t="shared" si="2"/>
        <v>0</v>
      </c>
      <c r="H19" s="181">
        <v>0</v>
      </c>
      <c r="I19" s="181">
        <v>0</v>
      </c>
      <c r="J19" s="530">
        <f t="shared" si="3"/>
        <v>0</v>
      </c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</row>
    <row r="20" spans="1:37" s="10" customFormat="1" ht="22.35" customHeight="1" x14ac:dyDescent="0.3">
      <c r="A20" s="1325" t="s">
        <v>110</v>
      </c>
      <c r="B20" s="1326"/>
      <c r="C20" s="1326"/>
      <c r="D20" s="42">
        <v>1035</v>
      </c>
      <c r="E20" s="181">
        <v>0</v>
      </c>
      <c r="F20" s="181">
        <v>0</v>
      </c>
      <c r="G20" s="333">
        <f t="shared" si="2"/>
        <v>0</v>
      </c>
      <c r="H20" s="181">
        <v>0</v>
      </c>
      <c r="I20" s="181">
        <v>0</v>
      </c>
      <c r="J20" s="530">
        <f t="shared" si="3"/>
        <v>0</v>
      </c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</row>
    <row r="21" spans="1:37" s="10" customFormat="1" ht="22.35" customHeight="1" x14ac:dyDescent="0.3">
      <c r="A21" s="1315" t="s">
        <v>111</v>
      </c>
      <c r="B21" s="1316"/>
      <c r="C21" s="1316"/>
      <c r="D21" s="42">
        <v>1040</v>
      </c>
      <c r="E21" s="181">
        <v>0</v>
      </c>
      <c r="F21" s="181">
        <v>0</v>
      </c>
      <c r="G21" s="333">
        <f t="shared" si="2"/>
        <v>0</v>
      </c>
      <c r="H21" s="181">
        <v>0</v>
      </c>
      <c r="I21" s="181">
        <v>0</v>
      </c>
      <c r="J21" s="530">
        <f t="shared" si="3"/>
        <v>0</v>
      </c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</row>
    <row r="22" spans="1:37" s="10" customFormat="1" ht="22.35" customHeight="1" x14ac:dyDescent="0.3">
      <c r="A22" s="1315" t="s">
        <v>112</v>
      </c>
      <c r="B22" s="1316"/>
      <c r="C22" s="1316"/>
      <c r="D22" s="42">
        <v>1045</v>
      </c>
      <c r="E22" s="181">
        <v>0</v>
      </c>
      <c r="F22" s="181">
        <v>0</v>
      </c>
      <c r="G22" s="333">
        <f t="shared" si="2"/>
        <v>0</v>
      </c>
      <c r="H22" s="181">
        <v>0</v>
      </c>
      <c r="I22" s="181">
        <v>0</v>
      </c>
      <c r="J22" s="530">
        <f t="shared" si="3"/>
        <v>0</v>
      </c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</row>
    <row r="23" spans="1:37" s="10" customFormat="1" ht="22.35" customHeight="1" x14ac:dyDescent="0.3">
      <c r="A23" s="1315" t="s">
        <v>113</v>
      </c>
      <c r="B23" s="1316"/>
      <c r="C23" s="1316"/>
      <c r="D23" s="42">
        <v>1090</v>
      </c>
      <c r="E23" s="181">
        <v>0</v>
      </c>
      <c r="F23" s="181">
        <v>0</v>
      </c>
      <c r="G23" s="333">
        <f t="shared" si="2"/>
        <v>0</v>
      </c>
      <c r="H23" s="181">
        <v>0</v>
      </c>
      <c r="I23" s="181">
        <v>0</v>
      </c>
      <c r="J23" s="530">
        <f t="shared" si="3"/>
        <v>0</v>
      </c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</row>
    <row r="24" spans="1:37" s="10" customFormat="1" ht="22.35" customHeight="1" thickBot="1" x14ac:dyDescent="0.4">
      <c r="A24" s="1327" t="s">
        <v>114</v>
      </c>
      <c r="B24" s="1328"/>
      <c r="C24" s="1328"/>
      <c r="D24" s="531">
        <v>1095</v>
      </c>
      <c r="E24" s="552">
        <f t="shared" ref="E24:F24" si="7">SUM(E9,E12,E13,E16,E17,E19,E20,E21,E22,E23)</f>
        <v>6147.2000000000007</v>
      </c>
      <c r="F24" s="552">
        <f t="shared" si="7"/>
        <v>0</v>
      </c>
      <c r="G24" s="553">
        <f t="shared" si="2"/>
        <v>6147.2000000000007</v>
      </c>
      <c r="H24" s="552">
        <f t="shared" ref="H24" si="8">SUM(H9,H12,H13,H16,H17,H19,H20,H21,H22,H23)</f>
        <v>5829.3000000000011</v>
      </c>
      <c r="I24" s="552">
        <f t="shared" ref="I24" si="9">SUM(I9,I12,I13,I16,I17,I19,I20,I21,I22,I23)</f>
        <v>0</v>
      </c>
      <c r="J24" s="554">
        <f t="shared" si="3"/>
        <v>5829.3000000000011</v>
      </c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</row>
    <row r="25" spans="1:37" s="10" customFormat="1" ht="22.35" customHeight="1" x14ac:dyDescent="0.35">
      <c r="A25" s="1331" t="s">
        <v>335</v>
      </c>
      <c r="B25" s="1332"/>
      <c r="C25" s="1333"/>
      <c r="D25" s="555"/>
      <c r="E25" s="555"/>
      <c r="F25" s="556"/>
      <c r="G25" s="557">
        <f t="shared" si="2"/>
        <v>0</v>
      </c>
      <c r="H25" s="555"/>
      <c r="I25" s="556"/>
      <c r="J25" s="558">
        <f t="shared" si="3"/>
        <v>0</v>
      </c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</row>
    <row r="26" spans="1:37" s="10" customFormat="1" ht="22.35" customHeight="1" x14ac:dyDescent="0.3">
      <c r="A26" s="1315" t="s">
        <v>49</v>
      </c>
      <c r="B26" s="1316"/>
      <c r="C26" s="1316"/>
      <c r="D26" s="42">
        <v>1100</v>
      </c>
      <c r="E26" s="181">
        <v>257.7</v>
      </c>
      <c r="F26" s="181">
        <v>0</v>
      </c>
      <c r="G26" s="333">
        <f t="shared" si="2"/>
        <v>257.7</v>
      </c>
      <c r="H26" s="181">
        <f>361.7</f>
        <v>361.7</v>
      </c>
      <c r="I26" s="181">
        <v>0</v>
      </c>
      <c r="J26" s="530">
        <f t="shared" si="3"/>
        <v>361.7</v>
      </c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</row>
    <row r="27" spans="1:37" s="10" customFormat="1" ht="22.35" customHeight="1" x14ac:dyDescent="0.3">
      <c r="A27" s="1315" t="s">
        <v>115</v>
      </c>
      <c r="B27" s="1316"/>
      <c r="C27" s="1316"/>
      <c r="D27" s="42">
        <v>1110</v>
      </c>
      <c r="E27" s="181">
        <v>0</v>
      </c>
      <c r="F27" s="181">
        <v>0</v>
      </c>
      <c r="G27" s="333">
        <f t="shared" si="2"/>
        <v>0</v>
      </c>
      <c r="H27" s="181">
        <v>0</v>
      </c>
      <c r="I27" s="181">
        <v>0</v>
      </c>
      <c r="J27" s="530">
        <f t="shared" si="3"/>
        <v>0</v>
      </c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</row>
    <row r="28" spans="1:37" s="10" customFormat="1" ht="35.450000000000003" customHeight="1" x14ac:dyDescent="0.3">
      <c r="A28" s="1315" t="s">
        <v>116</v>
      </c>
      <c r="B28" s="1316"/>
      <c r="C28" s="1316"/>
      <c r="D28" s="42">
        <v>1125</v>
      </c>
      <c r="E28" s="181">
        <v>0</v>
      </c>
      <c r="F28" s="181">
        <v>0</v>
      </c>
      <c r="G28" s="333">
        <f t="shared" si="2"/>
        <v>0</v>
      </c>
      <c r="H28" s="181">
        <v>5</v>
      </c>
      <c r="I28" s="181">
        <v>0</v>
      </c>
      <c r="J28" s="530">
        <f t="shared" si="3"/>
        <v>5</v>
      </c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</row>
    <row r="29" spans="1:37" s="10" customFormat="1" ht="22.35" customHeight="1" x14ac:dyDescent="0.3">
      <c r="A29" s="1329" t="s">
        <v>153</v>
      </c>
      <c r="B29" s="1330"/>
      <c r="C29" s="1330"/>
      <c r="D29" s="42"/>
      <c r="E29" s="181">
        <v>0</v>
      </c>
      <c r="F29" s="181">
        <v>0</v>
      </c>
      <c r="G29" s="333">
        <f t="shared" si="2"/>
        <v>0</v>
      </c>
      <c r="H29" s="181">
        <v>0</v>
      </c>
      <c r="I29" s="181">
        <v>0</v>
      </c>
      <c r="J29" s="530">
        <f t="shared" si="3"/>
        <v>0</v>
      </c>
      <c r="K29" s="279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</row>
    <row r="30" spans="1:37" s="10" customFormat="1" ht="24" customHeight="1" x14ac:dyDescent="0.3">
      <c r="A30" s="1315" t="s">
        <v>403</v>
      </c>
      <c r="B30" s="1316"/>
      <c r="C30" s="1316"/>
      <c r="D30" s="42"/>
      <c r="E30" s="181">
        <v>0</v>
      </c>
      <c r="F30" s="181">
        <v>0</v>
      </c>
      <c r="G30" s="333">
        <f t="shared" si="2"/>
        <v>0</v>
      </c>
      <c r="H30" s="181">
        <v>0</v>
      </c>
      <c r="I30" s="181">
        <v>0</v>
      </c>
      <c r="J30" s="530">
        <f t="shared" si="3"/>
        <v>0</v>
      </c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</row>
    <row r="31" spans="1:37" s="10" customFormat="1" ht="22.35" customHeight="1" x14ac:dyDescent="0.3">
      <c r="A31" s="1315" t="s">
        <v>117</v>
      </c>
      <c r="B31" s="1316"/>
      <c r="C31" s="1316"/>
      <c r="D31" s="42">
        <v>1130</v>
      </c>
      <c r="E31" s="181">
        <v>0</v>
      </c>
      <c r="F31" s="181">
        <v>0</v>
      </c>
      <c r="G31" s="333">
        <f t="shared" si="2"/>
        <v>0</v>
      </c>
      <c r="H31" s="181">
        <v>0</v>
      </c>
      <c r="I31" s="181">
        <v>0</v>
      </c>
      <c r="J31" s="530">
        <f t="shared" si="3"/>
        <v>0</v>
      </c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</row>
    <row r="32" spans="1:37" s="10" customFormat="1" ht="22.35" customHeight="1" x14ac:dyDescent="0.3">
      <c r="A32" s="1315" t="s">
        <v>118</v>
      </c>
      <c r="B32" s="1316"/>
      <c r="C32" s="1316"/>
      <c r="D32" s="42">
        <v>1135</v>
      </c>
      <c r="E32" s="181">
        <v>0</v>
      </c>
      <c r="F32" s="181">
        <v>0</v>
      </c>
      <c r="G32" s="333">
        <f t="shared" si="2"/>
        <v>0</v>
      </c>
      <c r="H32" s="181">
        <v>0</v>
      </c>
      <c r="I32" s="181">
        <v>0</v>
      </c>
      <c r="J32" s="530">
        <f t="shared" si="3"/>
        <v>0</v>
      </c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</row>
    <row r="33" spans="1:37" s="10" customFormat="1" ht="22.35" customHeight="1" x14ac:dyDescent="0.3">
      <c r="A33" s="1336" t="s">
        <v>119</v>
      </c>
      <c r="B33" s="1337"/>
      <c r="C33" s="1337"/>
      <c r="D33" s="44">
        <v>1136</v>
      </c>
      <c r="E33" s="181">
        <v>0</v>
      </c>
      <c r="F33" s="181">
        <v>0</v>
      </c>
      <c r="G33" s="333">
        <f t="shared" si="2"/>
        <v>0</v>
      </c>
      <c r="H33" s="181">
        <v>0</v>
      </c>
      <c r="I33" s="181">
        <v>0</v>
      </c>
      <c r="J33" s="530">
        <f t="shared" si="3"/>
        <v>0</v>
      </c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</row>
    <row r="34" spans="1:37" s="10" customFormat="1" ht="22.35" customHeight="1" x14ac:dyDescent="0.3">
      <c r="A34" s="1315" t="s">
        <v>148</v>
      </c>
      <c r="B34" s="1316"/>
      <c r="C34" s="1316"/>
      <c r="D34" s="42">
        <v>1155</v>
      </c>
      <c r="E34" s="181">
        <v>0</v>
      </c>
      <c r="F34" s="181">
        <v>0</v>
      </c>
      <c r="G34" s="333">
        <f t="shared" si="2"/>
        <v>0</v>
      </c>
      <c r="H34" s="181">
        <v>5.2</v>
      </c>
      <c r="I34" s="181">
        <v>0</v>
      </c>
      <c r="J34" s="530">
        <f t="shared" si="3"/>
        <v>5.2</v>
      </c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</row>
    <row r="35" spans="1:37" s="10" customFormat="1" ht="32.25" customHeight="1" x14ac:dyDescent="0.3">
      <c r="A35" s="1323" t="s">
        <v>147</v>
      </c>
      <c r="B35" s="1324"/>
      <c r="C35" s="1324"/>
      <c r="D35" s="42"/>
      <c r="E35" s="181">
        <v>0</v>
      </c>
      <c r="F35" s="181">
        <v>0</v>
      </c>
      <c r="G35" s="333">
        <f t="shared" si="2"/>
        <v>0</v>
      </c>
      <c r="H35" s="181">
        <v>5.2</v>
      </c>
      <c r="I35" s="181">
        <v>0</v>
      </c>
      <c r="J35" s="530">
        <f t="shared" si="3"/>
        <v>5.2</v>
      </c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</row>
    <row r="36" spans="1:37" s="10" customFormat="1" ht="22.35" customHeight="1" x14ac:dyDescent="0.3">
      <c r="A36" s="1315" t="s">
        <v>120</v>
      </c>
      <c r="B36" s="1316"/>
      <c r="C36" s="1316"/>
      <c r="D36" s="42">
        <v>1160</v>
      </c>
      <c r="E36" s="181">
        <v>0</v>
      </c>
      <c r="F36" s="181">
        <v>0</v>
      </c>
      <c r="G36" s="333">
        <f t="shared" si="2"/>
        <v>0</v>
      </c>
      <c r="H36" s="181">
        <v>0</v>
      </c>
      <c r="I36" s="181">
        <v>0</v>
      </c>
      <c r="J36" s="530">
        <f t="shared" si="3"/>
        <v>0</v>
      </c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</row>
    <row r="37" spans="1:37" s="10" customFormat="1" ht="22.35" customHeight="1" x14ac:dyDescent="0.3">
      <c r="A37" s="1315" t="s">
        <v>121</v>
      </c>
      <c r="B37" s="1316"/>
      <c r="C37" s="1316"/>
      <c r="D37" s="42">
        <v>1165</v>
      </c>
      <c r="E37" s="181">
        <v>106.7</v>
      </c>
      <c r="F37" s="181">
        <v>0</v>
      </c>
      <c r="G37" s="333">
        <f t="shared" si="2"/>
        <v>106.7</v>
      </c>
      <c r="H37" s="181">
        <v>36.1</v>
      </c>
      <c r="I37" s="181">
        <v>0</v>
      </c>
      <c r="J37" s="530">
        <f t="shared" si="3"/>
        <v>36.1</v>
      </c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</row>
    <row r="38" spans="1:37" s="10" customFormat="1" ht="22.35" customHeight="1" x14ac:dyDescent="0.3">
      <c r="A38" s="1315" t="s">
        <v>122</v>
      </c>
      <c r="B38" s="1316"/>
      <c r="C38" s="1316"/>
      <c r="D38" s="42">
        <v>1170</v>
      </c>
      <c r="E38" s="181">
        <v>175.2</v>
      </c>
      <c r="F38" s="181">
        <v>0</v>
      </c>
      <c r="G38" s="333">
        <f t="shared" si="2"/>
        <v>175.2</v>
      </c>
      <c r="H38" s="181">
        <f>309.5-18.9</f>
        <v>290.60000000000002</v>
      </c>
      <c r="I38" s="181">
        <v>0</v>
      </c>
      <c r="J38" s="530">
        <f t="shared" si="3"/>
        <v>290.60000000000002</v>
      </c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</row>
    <row r="39" spans="1:37" s="10" customFormat="1" ht="22.35" customHeight="1" x14ac:dyDescent="0.3">
      <c r="A39" s="1315" t="s">
        <v>123</v>
      </c>
      <c r="B39" s="1316"/>
      <c r="C39" s="1316"/>
      <c r="D39" s="42">
        <v>1190</v>
      </c>
      <c r="E39" s="181">
        <v>76.8</v>
      </c>
      <c r="F39" s="181">
        <v>0</v>
      </c>
      <c r="G39" s="333">
        <f t="shared" si="2"/>
        <v>76.8</v>
      </c>
      <c r="H39" s="181">
        <f>225.1-148.3</f>
        <v>76.799999999999983</v>
      </c>
      <c r="I39" s="181">
        <v>0</v>
      </c>
      <c r="J39" s="530">
        <f t="shared" si="3"/>
        <v>76.799999999999983</v>
      </c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</row>
    <row r="40" spans="1:37" s="10" customFormat="1" ht="26.1" customHeight="1" thickBot="1" x14ac:dyDescent="0.4">
      <c r="A40" s="1327" t="s">
        <v>124</v>
      </c>
      <c r="B40" s="1328"/>
      <c r="C40" s="1328"/>
      <c r="D40" s="531">
        <v>1195</v>
      </c>
      <c r="E40" s="552">
        <f t="shared" ref="E40:F40" si="10">SUM(E26,E27,E28,E31,E32,E36,E37,E38,E39,E34)</f>
        <v>616.39999999999986</v>
      </c>
      <c r="F40" s="552">
        <f t="shared" si="10"/>
        <v>0</v>
      </c>
      <c r="G40" s="553">
        <f t="shared" si="2"/>
        <v>616.39999999999986</v>
      </c>
      <c r="H40" s="552">
        <f t="shared" ref="H40" si="11">SUM(H26,H27,H28,H31,H32,H36,H37,H38,H39,H34)</f>
        <v>775.40000000000009</v>
      </c>
      <c r="I40" s="552">
        <f t="shared" ref="I40" si="12">SUM(I26,I27,I28,I31,I32,I36,I37,I38,I39,I34)</f>
        <v>0</v>
      </c>
      <c r="J40" s="554">
        <f t="shared" si="3"/>
        <v>775.40000000000009</v>
      </c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</row>
    <row r="41" spans="1:37" s="10" customFormat="1" ht="37.35" customHeight="1" thickBot="1" x14ac:dyDescent="0.35">
      <c r="A41" s="1338" t="s">
        <v>125</v>
      </c>
      <c r="B41" s="1339"/>
      <c r="C41" s="1339"/>
      <c r="D41" s="538">
        <v>1200</v>
      </c>
      <c r="E41" s="539">
        <v>0</v>
      </c>
      <c r="F41" s="539">
        <v>0</v>
      </c>
      <c r="G41" s="540">
        <f t="shared" si="2"/>
        <v>0</v>
      </c>
      <c r="H41" s="539">
        <v>0</v>
      </c>
      <c r="I41" s="539">
        <v>0</v>
      </c>
      <c r="J41" s="541">
        <f t="shared" si="3"/>
        <v>0</v>
      </c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</row>
    <row r="42" spans="1:37" s="10" customFormat="1" ht="32.450000000000003" customHeight="1" thickBot="1" x14ac:dyDescent="0.4">
      <c r="A42" s="1334" t="s">
        <v>126</v>
      </c>
      <c r="B42" s="1335"/>
      <c r="C42" s="1335"/>
      <c r="D42" s="560">
        <v>1300</v>
      </c>
      <c r="E42" s="561">
        <f t="shared" ref="E42:F42" si="13">SUM(E24,E40,E41)</f>
        <v>6763.6</v>
      </c>
      <c r="F42" s="562">
        <f t="shared" si="13"/>
        <v>0</v>
      </c>
      <c r="G42" s="563">
        <f t="shared" si="2"/>
        <v>6763.6</v>
      </c>
      <c r="H42" s="561">
        <f t="shared" ref="H42" si="14">SUM(H24,H40,H41)</f>
        <v>6604.7000000000007</v>
      </c>
      <c r="I42" s="562">
        <f t="shared" ref="I42" si="15">SUM(I24,I40,I41)</f>
        <v>0</v>
      </c>
      <c r="J42" s="564">
        <f t="shared" si="3"/>
        <v>6604.7000000000007</v>
      </c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</row>
    <row r="43" spans="1:37" s="10" customFormat="1" ht="45.6" customHeight="1" x14ac:dyDescent="0.25">
      <c r="A43" s="1313" t="s">
        <v>127</v>
      </c>
      <c r="B43" s="1314"/>
      <c r="C43" s="1314"/>
      <c r="D43" s="427" t="str">
        <f>D6</f>
        <v>Код рядка</v>
      </c>
      <c r="E43" s="465" t="s">
        <v>101</v>
      </c>
      <c r="F43" s="543" t="str">
        <f>F6</f>
        <v xml:space="preserve">Коригування </v>
      </c>
      <c r="G43" s="544" t="str">
        <f t="shared" ref="G43:J43" si="16">G6</f>
        <v>На початок звітного періоду з урахуванням коригування</v>
      </c>
      <c r="H43" s="465" t="str">
        <f t="shared" si="16"/>
        <v>На кінець звітного періоду</v>
      </c>
      <c r="I43" s="543" t="str">
        <f t="shared" si="16"/>
        <v xml:space="preserve">Коригування </v>
      </c>
      <c r="J43" s="466" t="str">
        <f t="shared" si="16"/>
        <v>На кінець звітного періоду з урахуванням коригування</v>
      </c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</row>
    <row r="44" spans="1:37" s="10" customFormat="1" ht="22.35" customHeight="1" x14ac:dyDescent="0.3">
      <c r="A44" s="1342">
        <f>A7</f>
        <v>1</v>
      </c>
      <c r="B44" s="1343"/>
      <c r="C44" s="1344"/>
      <c r="D44" s="441">
        <f>D7</f>
        <v>2</v>
      </c>
      <c r="E44" s="441">
        <f>E7</f>
        <v>3</v>
      </c>
      <c r="F44" s="441">
        <f>F7</f>
        <v>4</v>
      </c>
      <c r="G44" s="354">
        <f>G7</f>
        <v>5</v>
      </c>
      <c r="H44" s="441">
        <f>H7</f>
        <v>6</v>
      </c>
      <c r="I44" s="441">
        <f t="shared" ref="I44:J44" si="17">I7</f>
        <v>7</v>
      </c>
      <c r="J44" s="468">
        <f t="shared" si="17"/>
        <v>8</v>
      </c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</row>
    <row r="45" spans="1:37" s="10" customFormat="1" ht="22.35" customHeight="1" x14ac:dyDescent="0.35">
      <c r="A45" s="1345" t="s">
        <v>336</v>
      </c>
      <c r="B45" s="1346"/>
      <c r="C45" s="1346"/>
      <c r="D45" s="45"/>
      <c r="E45" s="82"/>
      <c r="F45" s="328"/>
      <c r="G45" s="334">
        <f t="shared" si="2"/>
        <v>0</v>
      </c>
      <c r="H45" s="82"/>
      <c r="I45" s="328"/>
      <c r="J45" s="545">
        <f t="shared" si="3"/>
        <v>0</v>
      </c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</row>
    <row r="46" spans="1:37" s="10" customFormat="1" ht="22.35" customHeight="1" x14ac:dyDescent="0.3">
      <c r="A46" s="1315" t="s">
        <v>552</v>
      </c>
      <c r="B46" s="1316"/>
      <c r="C46" s="1316"/>
      <c r="D46" s="42">
        <v>1400</v>
      </c>
      <c r="E46" s="181">
        <v>1</v>
      </c>
      <c r="F46" s="181">
        <v>0</v>
      </c>
      <c r="G46" s="333">
        <f t="shared" si="2"/>
        <v>1</v>
      </c>
      <c r="H46" s="181">
        <v>1</v>
      </c>
      <c r="I46" s="181">
        <v>0</v>
      </c>
      <c r="J46" s="530">
        <f t="shared" si="3"/>
        <v>1</v>
      </c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</row>
    <row r="47" spans="1:37" s="10" customFormat="1" ht="22.35" customHeight="1" x14ac:dyDescent="0.3">
      <c r="A47" s="1315" t="s">
        <v>128</v>
      </c>
      <c r="B47" s="1316"/>
      <c r="C47" s="1316"/>
      <c r="D47" s="42">
        <v>1405</v>
      </c>
      <c r="E47" s="181">
        <v>0</v>
      </c>
      <c r="F47" s="181">
        <v>0</v>
      </c>
      <c r="G47" s="333">
        <f t="shared" si="2"/>
        <v>0</v>
      </c>
      <c r="H47" s="181">
        <v>0</v>
      </c>
      <c r="I47" s="181">
        <v>0</v>
      </c>
      <c r="J47" s="530">
        <f t="shared" si="3"/>
        <v>0</v>
      </c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</row>
    <row r="48" spans="1:37" s="10" customFormat="1" ht="22.35" customHeight="1" x14ac:dyDescent="0.3">
      <c r="A48" s="1347" t="s">
        <v>129</v>
      </c>
      <c r="B48" s="1348"/>
      <c r="C48" s="1348"/>
      <c r="D48" s="228">
        <v>1410</v>
      </c>
      <c r="E48" s="181">
        <f>3438.8+2707.3</f>
        <v>6146.1</v>
      </c>
      <c r="F48" s="181">
        <v>-3155.3</v>
      </c>
      <c r="G48" s="333">
        <f t="shared" si="2"/>
        <v>2990.8</v>
      </c>
      <c r="H48" s="181">
        <v>5828.3</v>
      </c>
      <c r="I48" s="181">
        <v>-2983.7</v>
      </c>
      <c r="J48" s="530">
        <f t="shared" si="3"/>
        <v>2844.6000000000004</v>
      </c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</row>
    <row r="49" spans="1:37" s="10" customFormat="1" ht="22.35" customHeight="1" x14ac:dyDescent="0.3">
      <c r="A49" s="1347" t="s">
        <v>130</v>
      </c>
      <c r="B49" s="1348"/>
      <c r="C49" s="1348"/>
      <c r="D49" s="228">
        <v>1415</v>
      </c>
      <c r="E49" s="181">
        <v>0</v>
      </c>
      <c r="F49" s="181">
        <v>0</v>
      </c>
      <c r="G49" s="333">
        <f t="shared" si="2"/>
        <v>0</v>
      </c>
      <c r="H49" s="181">
        <v>0</v>
      </c>
      <c r="I49" s="181">
        <v>0</v>
      </c>
      <c r="J49" s="530">
        <f t="shared" si="3"/>
        <v>0</v>
      </c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</row>
    <row r="50" spans="1:37" s="10" customFormat="1" ht="22.35" customHeight="1" x14ac:dyDescent="0.35">
      <c r="A50" s="1349" t="s">
        <v>131</v>
      </c>
      <c r="B50" s="1350"/>
      <c r="C50" s="1350"/>
      <c r="D50" s="228">
        <v>1420</v>
      </c>
      <c r="E50" s="181">
        <v>441.3</v>
      </c>
      <c r="F50" s="181">
        <v>0</v>
      </c>
      <c r="G50" s="333">
        <f t="shared" si="2"/>
        <v>441.3</v>
      </c>
      <c r="H50" s="181">
        <v>446.7</v>
      </c>
      <c r="I50" s="181">
        <v>0</v>
      </c>
      <c r="J50" s="530">
        <f t="shared" si="3"/>
        <v>446.7</v>
      </c>
      <c r="K50" s="151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</row>
    <row r="51" spans="1:37" s="10" customFormat="1" ht="22.35" customHeight="1" x14ac:dyDescent="0.3">
      <c r="A51" s="1315" t="s">
        <v>132</v>
      </c>
      <c r="B51" s="1316"/>
      <c r="C51" s="1316"/>
      <c r="D51" s="42">
        <v>1425</v>
      </c>
      <c r="E51" s="181">
        <v>0</v>
      </c>
      <c r="F51" s="181">
        <v>0</v>
      </c>
      <c r="G51" s="333">
        <f t="shared" si="2"/>
        <v>0</v>
      </c>
      <c r="H51" s="181">
        <v>0</v>
      </c>
      <c r="I51" s="181">
        <v>0</v>
      </c>
      <c r="J51" s="530">
        <f t="shared" si="3"/>
        <v>0</v>
      </c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</row>
    <row r="52" spans="1:37" s="10" customFormat="1" ht="22.35" customHeight="1" x14ac:dyDescent="0.3">
      <c r="A52" s="1315" t="s">
        <v>133</v>
      </c>
      <c r="B52" s="1316"/>
      <c r="C52" s="1316"/>
      <c r="D52" s="42">
        <v>1430</v>
      </c>
      <c r="E52" s="181">
        <v>0</v>
      </c>
      <c r="F52" s="181">
        <v>0</v>
      </c>
      <c r="G52" s="333">
        <f t="shared" si="2"/>
        <v>0</v>
      </c>
      <c r="H52" s="181">
        <v>0</v>
      </c>
      <c r="I52" s="181">
        <v>0</v>
      </c>
      <c r="J52" s="530">
        <f t="shared" si="3"/>
        <v>0</v>
      </c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</row>
    <row r="53" spans="1:37" s="10" customFormat="1" ht="22.35" customHeight="1" thickBot="1" x14ac:dyDescent="0.4">
      <c r="A53" s="1351" t="s">
        <v>134</v>
      </c>
      <c r="B53" s="1352"/>
      <c r="C53" s="1352"/>
      <c r="D53" s="522">
        <v>1495</v>
      </c>
      <c r="E53" s="523">
        <f t="shared" ref="E53:F53" si="18">SUM(E46,E47,E48,E49,E50,E51,E52)</f>
        <v>6588.4000000000005</v>
      </c>
      <c r="F53" s="523">
        <f t="shared" si="18"/>
        <v>-3155.3</v>
      </c>
      <c r="G53" s="524">
        <f t="shared" si="2"/>
        <v>3433.1000000000004</v>
      </c>
      <c r="H53" s="523">
        <f t="shared" ref="H53" si="19">SUM(H46,H47,H48,H49,H50,H51,H52)</f>
        <v>6276</v>
      </c>
      <c r="I53" s="523">
        <f t="shared" ref="I53" si="20">SUM(I46,I47,I48,I49,I50,I51,I52)</f>
        <v>-2983.7</v>
      </c>
      <c r="J53" s="546">
        <f t="shared" si="3"/>
        <v>3292.3</v>
      </c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</row>
    <row r="54" spans="1:37" s="10" customFormat="1" ht="19.5" x14ac:dyDescent="0.35">
      <c r="A54" s="1340" t="s">
        <v>332</v>
      </c>
      <c r="B54" s="1341"/>
      <c r="C54" s="1341"/>
      <c r="D54" s="525"/>
      <c r="E54" s="526"/>
      <c r="F54" s="527"/>
      <c r="G54" s="528">
        <f t="shared" si="2"/>
        <v>0</v>
      </c>
      <c r="H54" s="526"/>
      <c r="I54" s="527"/>
      <c r="J54" s="529">
        <f t="shared" si="3"/>
        <v>0</v>
      </c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</row>
    <row r="55" spans="1:37" s="10" customFormat="1" ht="22.35" customHeight="1" x14ac:dyDescent="0.3">
      <c r="A55" s="1315" t="s">
        <v>135</v>
      </c>
      <c r="B55" s="1316"/>
      <c r="C55" s="1316"/>
      <c r="D55" s="42">
        <v>1500</v>
      </c>
      <c r="E55" s="181">
        <v>0</v>
      </c>
      <c r="F55" s="181">
        <v>0</v>
      </c>
      <c r="G55" s="333">
        <f t="shared" si="2"/>
        <v>0</v>
      </c>
      <c r="H55" s="181">
        <v>0</v>
      </c>
      <c r="I55" s="181">
        <v>0</v>
      </c>
      <c r="J55" s="530">
        <f t="shared" si="3"/>
        <v>0</v>
      </c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</row>
    <row r="56" spans="1:37" s="10" customFormat="1" ht="22.35" customHeight="1" x14ac:dyDescent="0.3">
      <c r="A56" s="1315" t="s">
        <v>136</v>
      </c>
      <c r="B56" s="1316"/>
      <c r="C56" s="1316"/>
      <c r="D56" s="42">
        <v>1510</v>
      </c>
      <c r="E56" s="181">
        <v>0</v>
      </c>
      <c r="F56" s="181">
        <v>0</v>
      </c>
      <c r="G56" s="333">
        <f t="shared" si="2"/>
        <v>0</v>
      </c>
      <c r="H56" s="181">
        <v>0</v>
      </c>
      <c r="I56" s="181">
        <v>0</v>
      </c>
      <c r="J56" s="530">
        <f t="shared" si="3"/>
        <v>0</v>
      </c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</row>
    <row r="57" spans="1:37" s="10" customFormat="1" ht="22.35" customHeight="1" x14ac:dyDescent="0.3">
      <c r="A57" s="1315" t="s">
        <v>137</v>
      </c>
      <c r="B57" s="1316"/>
      <c r="C57" s="1316"/>
      <c r="D57" s="42">
        <v>1515</v>
      </c>
      <c r="E57" s="181">
        <v>0</v>
      </c>
      <c r="F57" s="181">
        <v>0</v>
      </c>
      <c r="G57" s="333">
        <f t="shared" si="2"/>
        <v>0</v>
      </c>
      <c r="H57" s="181">
        <v>0</v>
      </c>
      <c r="I57" s="181">
        <v>0</v>
      </c>
      <c r="J57" s="530">
        <f t="shared" si="3"/>
        <v>0</v>
      </c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</row>
    <row r="58" spans="1:37" s="10" customFormat="1" ht="22.35" customHeight="1" x14ac:dyDescent="0.3">
      <c r="A58" s="1315" t="s">
        <v>138</v>
      </c>
      <c r="B58" s="1316"/>
      <c r="C58" s="1316"/>
      <c r="D58" s="42">
        <v>1520</v>
      </c>
      <c r="E58" s="181">
        <v>0</v>
      </c>
      <c r="F58" s="181">
        <v>0</v>
      </c>
      <c r="G58" s="333">
        <f t="shared" si="2"/>
        <v>0</v>
      </c>
      <c r="H58" s="181">
        <v>0</v>
      </c>
      <c r="I58" s="181">
        <v>0</v>
      </c>
      <c r="J58" s="530">
        <f t="shared" si="3"/>
        <v>0</v>
      </c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</row>
    <row r="59" spans="1:37" s="10" customFormat="1" ht="22.35" customHeight="1" x14ac:dyDescent="0.35">
      <c r="A59" s="1353" t="s">
        <v>600</v>
      </c>
      <c r="B59" s="1354"/>
      <c r="C59" s="1354"/>
      <c r="D59" s="42">
        <v>1525</v>
      </c>
      <c r="E59" s="181">
        <v>175.2</v>
      </c>
      <c r="F59" s="181">
        <v>0</v>
      </c>
      <c r="G59" s="333">
        <f t="shared" ref="G59" si="21">E59+F59</f>
        <v>175.2</v>
      </c>
      <c r="H59" s="181">
        <f>309.5-18.9</f>
        <v>290.60000000000002</v>
      </c>
      <c r="I59" s="181">
        <v>0</v>
      </c>
      <c r="J59" s="530">
        <f t="shared" ref="J59" si="22">H59+I59</f>
        <v>290.60000000000002</v>
      </c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</row>
    <row r="60" spans="1:37" s="10" customFormat="1" ht="45" customHeight="1" x14ac:dyDescent="0.3">
      <c r="A60" s="1355" t="s">
        <v>622</v>
      </c>
      <c r="B60" s="1356"/>
      <c r="C60" s="1357"/>
      <c r="D60" s="42"/>
      <c r="E60" s="181">
        <v>175.2</v>
      </c>
      <c r="F60" s="181">
        <v>0</v>
      </c>
      <c r="G60" s="333">
        <f t="shared" si="2"/>
        <v>175.2</v>
      </c>
      <c r="H60" s="181">
        <f>309.5-18.9</f>
        <v>290.60000000000002</v>
      </c>
      <c r="I60" s="181">
        <v>0</v>
      </c>
      <c r="J60" s="530">
        <f t="shared" si="3"/>
        <v>290.60000000000002</v>
      </c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</row>
    <row r="61" spans="1:37" s="10" customFormat="1" ht="40.35" customHeight="1" x14ac:dyDescent="0.3">
      <c r="A61" s="1355" t="s">
        <v>677</v>
      </c>
      <c r="B61" s="1356"/>
      <c r="C61" s="1357"/>
      <c r="D61" s="42"/>
      <c r="E61" s="181">
        <v>0</v>
      </c>
      <c r="F61" s="181">
        <v>0</v>
      </c>
      <c r="G61" s="333">
        <f t="shared" si="2"/>
        <v>0</v>
      </c>
      <c r="H61" s="181">
        <v>0</v>
      </c>
      <c r="I61" s="181">
        <v>0</v>
      </c>
      <c r="J61" s="530">
        <f t="shared" si="3"/>
        <v>0</v>
      </c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</row>
    <row r="62" spans="1:37" s="10" customFormat="1" ht="22.35" customHeight="1" thickBot="1" x14ac:dyDescent="0.4">
      <c r="A62" s="1327" t="s">
        <v>139</v>
      </c>
      <c r="B62" s="1328"/>
      <c r="C62" s="1328"/>
      <c r="D62" s="531">
        <v>1595</v>
      </c>
      <c r="E62" s="532">
        <f>SUM(E55,E56,E57,E58,E59)</f>
        <v>175.2</v>
      </c>
      <c r="F62" s="532">
        <f t="shared" ref="F62" si="23">SUM(F55,F56,F57,F58,F59)</f>
        <v>0</v>
      </c>
      <c r="G62" s="533">
        <f t="shared" si="2"/>
        <v>175.2</v>
      </c>
      <c r="H62" s="532">
        <f t="shared" ref="H62" si="24">SUM(H55,H56,H57,H58,H59)</f>
        <v>290.60000000000002</v>
      </c>
      <c r="I62" s="532">
        <f t="shared" ref="I62" si="25">SUM(I55,I56,I57,I58,I59)</f>
        <v>0</v>
      </c>
      <c r="J62" s="534">
        <f t="shared" si="3"/>
        <v>290.60000000000002</v>
      </c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</row>
    <row r="63" spans="1:37" s="10" customFormat="1" ht="27" customHeight="1" x14ac:dyDescent="0.35">
      <c r="A63" s="1340" t="s">
        <v>333</v>
      </c>
      <c r="B63" s="1341"/>
      <c r="C63" s="1341"/>
      <c r="D63" s="525"/>
      <c r="E63" s="526"/>
      <c r="F63" s="527"/>
      <c r="G63" s="528"/>
      <c r="H63" s="526"/>
      <c r="I63" s="527"/>
      <c r="J63" s="529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</row>
    <row r="64" spans="1:37" s="10" customFormat="1" ht="22.35" customHeight="1" x14ac:dyDescent="0.3">
      <c r="A64" s="1315" t="s">
        <v>140</v>
      </c>
      <c r="B64" s="1316"/>
      <c r="C64" s="1316"/>
      <c r="D64" s="42">
        <v>1600</v>
      </c>
      <c r="E64" s="181">
        <v>0</v>
      </c>
      <c r="F64" s="181">
        <v>0</v>
      </c>
      <c r="G64" s="333">
        <f t="shared" si="2"/>
        <v>0</v>
      </c>
      <c r="H64" s="181">
        <v>0</v>
      </c>
      <c r="I64" s="181">
        <v>0</v>
      </c>
      <c r="J64" s="530">
        <f t="shared" si="3"/>
        <v>0</v>
      </c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</row>
    <row r="65" spans="1:37" s="10" customFormat="1" ht="22.35" customHeight="1" x14ac:dyDescent="0.3">
      <c r="A65" s="1315" t="s">
        <v>334</v>
      </c>
      <c r="B65" s="1316"/>
      <c r="C65" s="1316"/>
      <c r="D65" s="42"/>
      <c r="E65" s="944" t="s">
        <v>404</v>
      </c>
      <c r="F65" s="944" t="s">
        <v>404</v>
      </c>
      <c r="G65" s="333"/>
      <c r="H65" s="944" t="s">
        <v>404</v>
      </c>
      <c r="I65" s="944" t="s">
        <v>404</v>
      </c>
      <c r="J65" s="530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</row>
    <row r="66" spans="1:37" s="10" customFormat="1" ht="22.35" customHeight="1" x14ac:dyDescent="0.3">
      <c r="A66" s="1315" t="s">
        <v>141</v>
      </c>
      <c r="B66" s="1316"/>
      <c r="C66" s="1316"/>
      <c r="D66" s="42">
        <v>1610</v>
      </c>
      <c r="E66" s="181">
        <v>0</v>
      </c>
      <c r="F66" s="181">
        <v>0</v>
      </c>
      <c r="G66" s="333">
        <f t="shared" si="2"/>
        <v>0</v>
      </c>
      <c r="H66" s="181">
        <v>0</v>
      </c>
      <c r="I66" s="181">
        <v>0</v>
      </c>
      <c r="J66" s="530">
        <f t="shared" si="3"/>
        <v>0</v>
      </c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</row>
    <row r="67" spans="1:37" s="10" customFormat="1" ht="22.35" customHeight="1" x14ac:dyDescent="0.3">
      <c r="A67" s="1315" t="s">
        <v>149</v>
      </c>
      <c r="B67" s="1316"/>
      <c r="C67" s="1316"/>
      <c r="D67" s="42">
        <v>1615</v>
      </c>
      <c r="E67" s="181">
        <v>0</v>
      </c>
      <c r="F67" s="181">
        <v>0</v>
      </c>
      <c r="G67" s="333">
        <f>E67+F67</f>
        <v>0</v>
      </c>
      <c r="H67" s="181">
        <v>8.6999999999999993</v>
      </c>
      <c r="I67" s="181">
        <v>0</v>
      </c>
      <c r="J67" s="530">
        <f t="shared" si="3"/>
        <v>8.6999999999999993</v>
      </c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</row>
    <row r="68" spans="1:37" s="10" customFormat="1" ht="22.35" customHeight="1" x14ac:dyDescent="0.3">
      <c r="A68" s="1315" t="s">
        <v>142</v>
      </c>
      <c r="B68" s="1316"/>
      <c r="C68" s="1316"/>
      <c r="D68" s="42">
        <v>1620</v>
      </c>
      <c r="E68" s="181">
        <v>0</v>
      </c>
      <c r="F68" s="181">
        <v>0</v>
      </c>
      <c r="G68" s="333">
        <f t="shared" si="2"/>
        <v>0</v>
      </c>
      <c r="H68" s="181">
        <v>19.2</v>
      </c>
      <c r="I68" s="181">
        <v>0</v>
      </c>
      <c r="J68" s="530">
        <f t="shared" si="3"/>
        <v>19.2</v>
      </c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</row>
    <row r="69" spans="1:37" s="10" customFormat="1" ht="22.35" customHeight="1" x14ac:dyDescent="0.3">
      <c r="A69" s="1325" t="s">
        <v>119</v>
      </c>
      <c r="B69" s="1326"/>
      <c r="C69" s="1326"/>
      <c r="D69" s="42">
        <v>1621</v>
      </c>
      <c r="E69" s="181">
        <v>0</v>
      </c>
      <c r="F69" s="181">
        <v>0</v>
      </c>
      <c r="G69" s="333">
        <f t="shared" si="2"/>
        <v>0</v>
      </c>
      <c r="H69" s="181">
        <v>0</v>
      </c>
      <c r="I69" s="181">
        <v>0</v>
      </c>
      <c r="J69" s="530">
        <f t="shared" si="3"/>
        <v>0</v>
      </c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</row>
    <row r="70" spans="1:37" s="10" customFormat="1" ht="22.35" customHeight="1" x14ac:dyDescent="0.3">
      <c r="A70" s="1315" t="s">
        <v>143</v>
      </c>
      <c r="B70" s="1316"/>
      <c r="C70" s="1316"/>
      <c r="D70" s="42">
        <v>1625</v>
      </c>
      <c r="E70" s="181">
        <v>0</v>
      </c>
      <c r="F70" s="181">
        <v>0</v>
      </c>
      <c r="G70" s="333">
        <f t="shared" si="2"/>
        <v>0</v>
      </c>
      <c r="H70" s="181">
        <v>5.2</v>
      </c>
      <c r="I70" s="181">
        <v>0</v>
      </c>
      <c r="J70" s="530">
        <f t="shared" si="3"/>
        <v>5.2</v>
      </c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</row>
    <row r="71" spans="1:37" s="10" customFormat="1" ht="22.35" customHeight="1" x14ac:dyDescent="0.3">
      <c r="A71" s="1347" t="s">
        <v>152</v>
      </c>
      <c r="B71" s="1348"/>
      <c r="C71" s="1348"/>
      <c r="D71" s="228">
        <v>1630</v>
      </c>
      <c r="E71" s="229">
        <v>0</v>
      </c>
      <c r="F71" s="229">
        <v>0</v>
      </c>
      <c r="G71" s="333">
        <f t="shared" si="2"/>
        <v>0</v>
      </c>
      <c r="H71" s="229">
        <v>0</v>
      </c>
      <c r="I71" s="229">
        <v>0</v>
      </c>
      <c r="J71" s="530">
        <f t="shared" si="3"/>
        <v>0</v>
      </c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</row>
    <row r="72" spans="1:37" s="10" customFormat="1" ht="22.35" customHeight="1" x14ac:dyDescent="0.3">
      <c r="A72" s="1363" t="s">
        <v>238</v>
      </c>
      <c r="B72" s="1364"/>
      <c r="C72" s="1364"/>
      <c r="D72" s="228"/>
      <c r="E72" s="229">
        <v>0</v>
      </c>
      <c r="F72" s="229">
        <v>0</v>
      </c>
      <c r="G72" s="333">
        <f t="shared" si="2"/>
        <v>0</v>
      </c>
      <c r="H72" s="229">
        <v>0</v>
      </c>
      <c r="I72" s="229">
        <v>0</v>
      </c>
      <c r="J72" s="530">
        <f t="shared" si="3"/>
        <v>0</v>
      </c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</row>
    <row r="73" spans="1:37" s="10" customFormat="1" ht="22.35" customHeight="1" x14ac:dyDescent="0.3">
      <c r="A73" s="1363" t="s">
        <v>150</v>
      </c>
      <c r="B73" s="1364"/>
      <c r="C73" s="1364"/>
      <c r="D73" s="228"/>
      <c r="E73" s="229">
        <v>0</v>
      </c>
      <c r="F73" s="229">
        <v>0</v>
      </c>
      <c r="G73" s="333">
        <f t="shared" si="2"/>
        <v>0</v>
      </c>
      <c r="H73" s="229">
        <v>0</v>
      </c>
      <c r="I73" s="229">
        <v>0</v>
      </c>
      <c r="J73" s="530">
        <f t="shared" si="3"/>
        <v>0</v>
      </c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</row>
    <row r="74" spans="1:37" s="10" customFormat="1" ht="22.35" customHeight="1" x14ac:dyDescent="0.3">
      <c r="A74" s="1363" t="s">
        <v>151</v>
      </c>
      <c r="B74" s="1364"/>
      <c r="C74" s="1364"/>
      <c r="D74" s="228"/>
      <c r="E74" s="229">
        <v>0</v>
      </c>
      <c r="F74" s="229">
        <v>0</v>
      </c>
      <c r="G74" s="333">
        <f t="shared" si="2"/>
        <v>0</v>
      </c>
      <c r="H74" s="229">
        <v>0</v>
      </c>
      <c r="I74" s="229">
        <v>0</v>
      </c>
      <c r="J74" s="530">
        <f t="shared" si="3"/>
        <v>0</v>
      </c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</row>
    <row r="75" spans="1:37" s="10" customFormat="1" ht="43.35" customHeight="1" x14ac:dyDescent="0.3">
      <c r="A75" s="1310" t="s">
        <v>620</v>
      </c>
      <c r="B75" s="1311"/>
      <c r="C75" s="1312"/>
      <c r="D75" s="228">
        <v>1635</v>
      </c>
      <c r="E75" s="229">
        <v>0</v>
      </c>
      <c r="F75" s="229">
        <v>0</v>
      </c>
      <c r="G75" s="333">
        <f t="shared" si="2"/>
        <v>0</v>
      </c>
      <c r="H75" s="229">
        <v>0</v>
      </c>
      <c r="I75" s="229">
        <v>0</v>
      </c>
      <c r="J75" s="530">
        <f t="shared" si="3"/>
        <v>0</v>
      </c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</row>
    <row r="76" spans="1:37" s="10" customFormat="1" ht="22.35" customHeight="1" x14ac:dyDescent="0.3">
      <c r="A76" s="1361" t="s">
        <v>621</v>
      </c>
      <c r="B76" s="1362"/>
      <c r="C76" s="1362"/>
      <c r="D76" s="228"/>
      <c r="E76" s="229">
        <v>0</v>
      </c>
      <c r="F76" s="181">
        <v>0</v>
      </c>
      <c r="G76" s="333">
        <f>E76+F76</f>
        <v>0</v>
      </c>
      <c r="H76" s="229">
        <v>0</v>
      </c>
      <c r="I76" s="181">
        <v>0</v>
      </c>
      <c r="J76" s="530">
        <f>H76+I76</f>
        <v>0</v>
      </c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</row>
    <row r="77" spans="1:37" s="10" customFormat="1" ht="22.35" customHeight="1" x14ac:dyDescent="0.3">
      <c r="A77" s="1347" t="s">
        <v>144</v>
      </c>
      <c r="B77" s="1348"/>
      <c r="C77" s="1348"/>
      <c r="D77" s="228">
        <v>1660</v>
      </c>
      <c r="E77" s="229">
        <v>0</v>
      </c>
      <c r="F77" s="229">
        <v>0</v>
      </c>
      <c r="G77" s="333">
        <f t="shared" si="2"/>
        <v>0</v>
      </c>
      <c r="H77" s="229">
        <v>0</v>
      </c>
      <c r="I77" s="229">
        <v>0</v>
      </c>
      <c r="J77" s="530">
        <f t="shared" si="3"/>
        <v>0</v>
      </c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27"/>
      <c r="AK77" s="127"/>
    </row>
    <row r="78" spans="1:37" s="10" customFormat="1" ht="29.45" customHeight="1" x14ac:dyDescent="0.3">
      <c r="A78" s="1347" t="s">
        <v>55</v>
      </c>
      <c r="B78" s="1348"/>
      <c r="C78" s="1348"/>
      <c r="D78" s="228">
        <v>1665</v>
      </c>
      <c r="E78" s="229">
        <v>0</v>
      </c>
      <c r="F78" s="181">
        <v>3155.3</v>
      </c>
      <c r="G78" s="333">
        <f t="shared" ref="G78:G82" si="26">E78+F78</f>
        <v>3155.3</v>
      </c>
      <c r="H78" s="229">
        <v>5</v>
      </c>
      <c r="I78" s="181">
        <v>2983.7</v>
      </c>
      <c r="J78" s="530">
        <f t="shared" si="3"/>
        <v>2988.7</v>
      </c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</row>
    <row r="79" spans="1:37" s="10" customFormat="1" ht="40.700000000000003" customHeight="1" x14ac:dyDescent="0.3">
      <c r="A79" s="1355" t="s">
        <v>618</v>
      </c>
      <c r="B79" s="1356"/>
      <c r="C79" s="1357"/>
      <c r="D79" s="228"/>
      <c r="E79" s="229">
        <v>0</v>
      </c>
      <c r="F79" s="181">
        <v>3155.3</v>
      </c>
      <c r="G79" s="333">
        <f t="shared" si="26"/>
        <v>3155.3</v>
      </c>
      <c r="H79" s="229">
        <v>0</v>
      </c>
      <c r="I79" s="181">
        <v>2983.7</v>
      </c>
      <c r="J79" s="530">
        <f t="shared" si="3"/>
        <v>2983.7</v>
      </c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</row>
    <row r="80" spans="1:37" s="10" customFormat="1" ht="22.35" customHeight="1" x14ac:dyDescent="0.3">
      <c r="A80" s="1347" t="s">
        <v>145</v>
      </c>
      <c r="B80" s="1348"/>
      <c r="C80" s="1348"/>
      <c r="D80" s="228">
        <v>1690</v>
      </c>
      <c r="E80" s="229">
        <v>0</v>
      </c>
      <c r="F80" s="229">
        <v>0</v>
      </c>
      <c r="G80" s="333">
        <f t="shared" si="26"/>
        <v>0</v>
      </c>
      <c r="H80" s="229">
        <v>0</v>
      </c>
      <c r="I80" s="229">
        <v>0</v>
      </c>
      <c r="J80" s="530">
        <f t="shared" ref="J80:J82" si="27">H80+I80</f>
        <v>0</v>
      </c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</row>
    <row r="81" spans="1:37" s="10" customFormat="1" ht="22.35" customHeight="1" thickBot="1" x14ac:dyDescent="0.4">
      <c r="A81" s="1358" t="s">
        <v>146</v>
      </c>
      <c r="B81" s="1359"/>
      <c r="C81" s="1359"/>
      <c r="D81" s="535">
        <v>1695</v>
      </c>
      <c r="E81" s="536">
        <f>SUM(E64,E66,E67,E68,E70,E71,E77,E78,E80,E75)</f>
        <v>0</v>
      </c>
      <c r="F81" s="536">
        <f>SUM(F64,F66,F67,F68,F70,F71,F77,F78,F80,F75)</f>
        <v>3155.3</v>
      </c>
      <c r="G81" s="536">
        <f>SUM(G64,G66,G67,G68,G70,G71,G77,G78,G80,G75)</f>
        <v>3155.3</v>
      </c>
      <c r="H81" s="536">
        <f t="shared" ref="H81:I81" si="28">SUM(H64,H66,H67,H68,H70,H71,H77,H78,H80,H75)</f>
        <v>38.1</v>
      </c>
      <c r="I81" s="536">
        <f t="shared" si="28"/>
        <v>2983.7</v>
      </c>
      <c r="J81" s="537">
        <f>SUM(J64,J66,J67,J68,J70,J71,J77,J78,J80,J75)</f>
        <v>3021.7999999999997</v>
      </c>
      <c r="K81" s="279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</row>
    <row r="82" spans="1:37" s="10" customFormat="1" ht="48" customHeight="1" thickBot="1" x14ac:dyDescent="0.35">
      <c r="A82" s="1338" t="s">
        <v>393</v>
      </c>
      <c r="B82" s="1339"/>
      <c r="C82" s="1339"/>
      <c r="D82" s="538">
        <v>1700</v>
      </c>
      <c r="E82" s="539">
        <v>0</v>
      </c>
      <c r="F82" s="539">
        <v>0</v>
      </c>
      <c r="G82" s="540">
        <f t="shared" si="26"/>
        <v>0</v>
      </c>
      <c r="H82" s="539">
        <v>0</v>
      </c>
      <c r="I82" s="539">
        <v>0</v>
      </c>
      <c r="J82" s="541">
        <f t="shared" si="27"/>
        <v>0</v>
      </c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</row>
    <row r="83" spans="1:37" s="10" customFormat="1" ht="22.35" customHeight="1" thickBot="1" x14ac:dyDescent="0.4">
      <c r="A83" s="1365" t="s">
        <v>126</v>
      </c>
      <c r="B83" s="1366"/>
      <c r="C83" s="1366"/>
      <c r="D83" s="542">
        <v>1900</v>
      </c>
      <c r="E83" s="952">
        <f>SUM(E53,E62,E81,E82)</f>
        <v>6763.6</v>
      </c>
      <c r="F83" s="953">
        <f>SUM(F53,F62,F81,F82)</f>
        <v>0</v>
      </c>
      <c r="G83" s="540">
        <f>E83+F83</f>
        <v>6763.6</v>
      </c>
      <c r="H83" s="952">
        <f>SUM(H53,H62,H81,H82)</f>
        <v>6604.7000000000007</v>
      </c>
      <c r="I83" s="953">
        <f>SUM(I53,I62,I81,I82)</f>
        <v>0</v>
      </c>
      <c r="J83" s="541">
        <f>H83+I83</f>
        <v>6604.7000000000007</v>
      </c>
      <c r="K83" s="151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  <c r="AH83" s="127"/>
      <c r="AI83" s="127"/>
      <c r="AJ83" s="127"/>
      <c r="AK83" s="127"/>
    </row>
    <row r="84" spans="1:37" ht="20.25" x14ac:dyDescent="0.25">
      <c r="A84" s="9"/>
      <c r="B84" s="6"/>
      <c r="C84" s="6"/>
      <c r="D84" s="6"/>
      <c r="E84" s="6"/>
      <c r="F84" s="329"/>
      <c r="G84" s="6"/>
      <c r="H84" s="8"/>
    </row>
    <row r="85" spans="1:37" s="14" customFormat="1" ht="49.35" customHeight="1" x14ac:dyDescent="0.25">
      <c r="A85" s="1227" t="s">
        <v>233</v>
      </c>
      <c r="B85" s="1227"/>
      <c r="C85" s="1227"/>
      <c r="D85" s="1360"/>
      <c r="E85" s="1360"/>
      <c r="F85" s="1360"/>
      <c r="G85" s="1360"/>
      <c r="H85" s="1360"/>
      <c r="I85" s="68"/>
      <c r="J85" s="68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</row>
    <row r="86" spans="1:37" s="14" customFormat="1" ht="42.6" customHeight="1" x14ac:dyDescent="0.25">
      <c r="A86" s="1227" t="s">
        <v>232</v>
      </c>
      <c r="B86" s="1227"/>
      <c r="C86" s="1227"/>
      <c r="D86" s="1360"/>
      <c r="E86" s="1360"/>
      <c r="F86" s="1360"/>
      <c r="G86" s="1360"/>
      <c r="H86" s="1360"/>
      <c r="I86" s="68"/>
      <c r="J86" s="68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</row>
    <row r="87" spans="1:37" s="14" customFormat="1" ht="30.6" customHeight="1" x14ac:dyDescent="0.25">
      <c r="A87" s="1227" t="s">
        <v>234</v>
      </c>
      <c r="B87" s="1227"/>
      <c r="C87" s="1227"/>
      <c r="D87" s="1360"/>
      <c r="E87" s="1360"/>
      <c r="F87" s="1360"/>
      <c r="G87" s="1360"/>
      <c r="H87" s="1360"/>
      <c r="I87" s="68"/>
      <c r="J87" s="68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</row>
    <row r="88" spans="1:37" s="14" customFormat="1" ht="24" customHeight="1" x14ac:dyDescent="0.25">
      <c r="A88" s="1227" t="s">
        <v>96</v>
      </c>
      <c r="B88" s="1227"/>
      <c r="C88" s="1227"/>
      <c r="D88" s="1360"/>
      <c r="E88" s="1360"/>
      <c r="F88" s="1360"/>
      <c r="G88" s="1360"/>
      <c r="H88" s="1360"/>
      <c r="I88" s="68"/>
      <c r="J88" s="68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</row>
    <row r="89" spans="1:37" s="14" customFormat="1" ht="25.35" customHeight="1" x14ac:dyDescent="0.25">
      <c r="A89" s="1227" t="s">
        <v>235</v>
      </c>
      <c r="B89" s="1227"/>
      <c r="C89" s="1227"/>
      <c r="D89" s="1360"/>
      <c r="E89" s="1360"/>
      <c r="F89" s="1360"/>
      <c r="G89" s="1360"/>
      <c r="H89" s="1360"/>
      <c r="I89" s="68"/>
      <c r="J89" s="68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</row>
    <row r="90" spans="1:37" s="133" customFormat="1" x14ac:dyDescent="0.25">
      <c r="A90" s="130"/>
      <c r="B90" s="134"/>
      <c r="C90" s="134"/>
      <c r="D90" s="134"/>
      <c r="E90" s="130"/>
      <c r="F90" s="330"/>
      <c r="G90" s="130"/>
      <c r="H90" s="130"/>
      <c r="I90" s="131"/>
      <c r="J90" s="131"/>
    </row>
    <row r="91" spans="1:37" s="133" customFormat="1" x14ac:dyDescent="0.25">
      <c r="A91" s="130"/>
      <c r="B91" s="134"/>
      <c r="C91" s="134"/>
      <c r="D91" s="134"/>
      <c r="E91" s="130"/>
      <c r="F91" s="330"/>
      <c r="G91" s="130"/>
      <c r="H91" s="130"/>
      <c r="I91" s="131"/>
      <c r="J91" s="131"/>
    </row>
    <row r="92" spans="1:37" s="133" customFormat="1" x14ac:dyDescent="0.25">
      <c r="A92" s="130"/>
      <c r="B92" s="134"/>
      <c r="C92" s="134"/>
      <c r="D92" s="134"/>
      <c r="E92" s="130"/>
      <c r="F92" s="330"/>
      <c r="G92" s="130"/>
      <c r="H92" s="130"/>
      <c r="I92" s="131"/>
      <c r="J92" s="131"/>
    </row>
    <row r="93" spans="1:37" s="133" customFormat="1" x14ac:dyDescent="0.25">
      <c r="A93" s="130"/>
      <c r="B93" s="134"/>
      <c r="C93" s="134"/>
      <c r="D93" s="134"/>
      <c r="E93" s="130"/>
      <c r="F93" s="330"/>
      <c r="G93" s="130"/>
      <c r="H93" s="130"/>
      <c r="I93" s="131"/>
      <c r="J93" s="131"/>
    </row>
    <row r="94" spans="1:37" s="133" customFormat="1" x14ac:dyDescent="0.25">
      <c r="A94" s="130"/>
      <c r="B94" s="134"/>
      <c r="C94" s="134"/>
      <c r="D94" s="134"/>
      <c r="E94" s="130"/>
      <c r="F94" s="330"/>
      <c r="G94" s="130"/>
      <c r="H94" s="130"/>
      <c r="I94" s="131"/>
      <c r="J94" s="131"/>
    </row>
    <row r="95" spans="1:37" s="133" customFormat="1" x14ac:dyDescent="0.25">
      <c r="A95" s="130"/>
      <c r="B95" s="134"/>
      <c r="C95" s="134"/>
      <c r="D95" s="134"/>
      <c r="E95" s="130"/>
      <c r="F95" s="330"/>
      <c r="G95" s="130"/>
      <c r="H95" s="130"/>
      <c r="I95" s="131"/>
      <c r="J95" s="131"/>
    </row>
    <row r="96" spans="1:37" s="133" customFormat="1" x14ac:dyDescent="0.25">
      <c r="A96" s="130"/>
      <c r="B96" s="134"/>
      <c r="C96" s="134"/>
      <c r="D96" s="134"/>
      <c r="E96" s="130"/>
      <c r="F96" s="330"/>
      <c r="G96" s="130"/>
      <c r="H96" s="130"/>
      <c r="I96" s="131"/>
      <c r="J96" s="131"/>
    </row>
    <row r="97" spans="1:10" s="133" customFormat="1" x14ac:dyDescent="0.25">
      <c r="A97" s="130"/>
      <c r="B97" s="134"/>
      <c r="C97" s="134"/>
      <c r="D97" s="134"/>
      <c r="E97" s="130"/>
      <c r="F97" s="330"/>
      <c r="G97" s="130"/>
      <c r="H97" s="130"/>
      <c r="I97" s="131"/>
      <c r="J97" s="131"/>
    </row>
    <row r="98" spans="1:10" s="133" customFormat="1" x14ac:dyDescent="0.25">
      <c r="A98" s="130"/>
      <c r="B98" s="134"/>
      <c r="C98" s="134"/>
      <c r="D98" s="134"/>
      <c r="E98" s="130"/>
      <c r="F98" s="330"/>
      <c r="G98" s="130"/>
      <c r="H98" s="130"/>
      <c r="I98" s="131"/>
      <c r="J98" s="131"/>
    </row>
    <row r="99" spans="1:10" s="130" customFormat="1" x14ac:dyDescent="0.25">
      <c r="B99" s="134"/>
      <c r="C99" s="134"/>
      <c r="D99" s="134"/>
      <c r="E99" s="135"/>
      <c r="F99" s="331"/>
      <c r="G99" s="135"/>
      <c r="H99" s="135"/>
      <c r="I99" s="131"/>
      <c r="J99" s="131"/>
    </row>
    <row r="100" spans="1:10" s="130" customFormat="1" x14ac:dyDescent="0.25">
      <c r="B100" s="134"/>
      <c r="C100" s="134"/>
      <c r="D100" s="134"/>
      <c r="E100" s="135"/>
      <c r="F100" s="331"/>
      <c r="G100" s="135"/>
      <c r="H100" s="135"/>
      <c r="I100" s="131"/>
      <c r="J100" s="131"/>
    </row>
    <row r="101" spans="1:10" s="130" customFormat="1" x14ac:dyDescent="0.25">
      <c r="B101" s="134"/>
      <c r="C101" s="134"/>
      <c r="D101" s="134"/>
      <c r="E101" s="135"/>
      <c r="F101" s="331"/>
      <c r="G101" s="135"/>
      <c r="H101" s="135"/>
      <c r="I101" s="131"/>
      <c r="J101" s="131"/>
    </row>
    <row r="102" spans="1:10" s="130" customFormat="1" x14ac:dyDescent="0.25">
      <c r="B102" s="134"/>
      <c r="C102" s="134"/>
      <c r="D102" s="134"/>
      <c r="E102" s="135"/>
      <c r="F102" s="331"/>
      <c r="G102" s="135"/>
      <c r="H102" s="135"/>
      <c r="I102" s="131"/>
      <c r="J102" s="131"/>
    </row>
    <row r="103" spans="1:10" s="130" customFormat="1" x14ac:dyDescent="0.25">
      <c r="B103" s="134"/>
      <c r="C103" s="134"/>
      <c r="D103" s="134"/>
      <c r="E103" s="135"/>
      <c r="F103" s="331"/>
      <c r="G103" s="135"/>
      <c r="H103" s="135"/>
      <c r="I103" s="131"/>
      <c r="J103" s="131"/>
    </row>
    <row r="104" spans="1:10" s="130" customFormat="1" x14ac:dyDescent="0.25">
      <c r="B104" s="134"/>
      <c r="C104" s="134"/>
      <c r="D104" s="134"/>
      <c r="E104" s="135"/>
      <c r="F104" s="331"/>
      <c r="G104" s="135"/>
      <c r="H104" s="135"/>
      <c r="I104" s="131"/>
      <c r="J104" s="131"/>
    </row>
    <row r="105" spans="1:10" s="130" customFormat="1" x14ac:dyDescent="0.25">
      <c r="B105" s="134"/>
      <c r="C105" s="134"/>
      <c r="D105" s="134"/>
      <c r="E105" s="135"/>
      <c r="F105" s="331"/>
      <c r="G105" s="135"/>
      <c r="H105" s="135"/>
      <c r="I105" s="131"/>
      <c r="J105" s="131"/>
    </row>
    <row r="106" spans="1:10" s="130" customFormat="1" x14ac:dyDescent="0.25">
      <c r="B106" s="134"/>
      <c r="C106" s="134"/>
      <c r="D106" s="134"/>
      <c r="E106" s="135"/>
      <c r="F106" s="331"/>
      <c r="G106" s="135"/>
      <c r="H106" s="135"/>
      <c r="I106" s="131"/>
      <c r="J106" s="131"/>
    </row>
    <row r="107" spans="1:10" s="130" customFormat="1" x14ac:dyDescent="0.25">
      <c r="B107" s="134"/>
      <c r="C107" s="134"/>
      <c r="D107" s="134"/>
      <c r="E107" s="135"/>
      <c r="F107" s="331"/>
      <c r="G107" s="135"/>
      <c r="H107" s="135"/>
      <c r="I107" s="131"/>
      <c r="J107" s="131"/>
    </row>
    <row r="108" spans="1:10" s="130" customFormat="1" x14ac:dyDescent="0.25">
      <c r="B108" s="134"/>
      <c r="C108" s="134"/>
      <c r="D108" s="134"/>
      <c r="E108" s="135"/>
      <c r="F108" s="331"/>
      <c r="G108" s="135"/>
      <c r="H108" s="135"/>
      <c r="I108" s="131"/>
      <c r="J108" s="131"/>
    </row>
    <row r="109" spans="1:10" s="130" customFormat="1" x14ac:dyDescent="0.25">
      <c r="B109" s="134"/>
      <c r="C109" s="134"/>
      <c r="D109" s="134"/>
      <c r="E109" s="135"/>
      <c r="F109" s="331"/>
      <c r="G109" s="135"/>
      <c r="H109" s="135"/>
      <c r="I109" s="131"/>
      <c r="J109" s="131"/>
    </row>
    <row r="110" spans="1:10" s="130" customFormat="1" x14ac:dyDescent="0.25">
      <c r="B110" s="134"/>
      <c r="C110" s="134"/>
      <c r="D110" s="134"/>
      <c r="E110" s="135"/>
      <c r="F110" s="331"/>
      <c r="G110" s="135"/>
      <c r="H110" s="135"/>
      <c r="I110" s="131"/>
      <c r="J110" s="131"/>
    </row>
    <row r="111" spans="1:10" s="130" customFormat="1" x14ac:dyDescent="0.25">
      <c r="B111" s="134"/>
      <c r="C111" s="134"/>
      <c r="D111" s="134"/>
      <c r="E111" s="135"/>
      <c r="F111" s="331"/>
      <c r="G111" s="135"/>
      <c r="H111" s="135"/>
      <c r="I111" s="131"/>
      <c r="J111" s="131"/>
    </row>
    <row r="112" spans="1:10" s="130" customFormat="1" x14ac:dyDescent="0.25">
      <c r="B112" s="134"/>
      <c r="C112" s="134"/>
      <c r="D112" s="134"/>
      <c r="E112" s="135"/>
      <c r="F112" s="331"/>
      <c r="G112" s="135"/>
      <c r="H112" s="135"/>
      <c r="I112" s="131"/>
      <c r="J112" s="131"/>
    </row>
    <row r="113" spans="2:10" s="130" customFormat="1" x14ac:dyDescent="0.25">
      <c r="B113" s="134"/>
      <c r="C113" s="134"/>
      <c r="D113" s="134"/>
      <c r="E113" s="135"/>
      <c r="F113" s="331"/>
      <c r="G113" s="135"/>
      <c r="H113" s="135"/>
      <c r="I113" s="131"/>
      <c r="J113" s="131"/>
    </row>
    <row r="114" spans="2:10" s="130" customFormat="1" x14ac:dyDescent="0.25">
      <c r="B114" s="134"/>
      <c r="C114" s="134"/>
      <c r="D114" s="134"/>
      <c r="E114" s="135"/>
      <c r="F114" s="331"/>
      <c r="G114" s="135"/>
      <c r="H114" s="135"/>
      <c r="I114" s="131"/>
      <c r="J114" s="131"/>
    </row>
    <row r="115" spans="2:10" s="130" customFormat="1" x14ac:dyDescent="0.25">
      <c r="B115" s="134"/>
      <c r="C115" s="134"/>
      <c r="D115" s="134"/>
      <c r="E115" s="135"/>
      <c r="F115" s="331"/>
      <c r="G115" s="135"/>
      <c r="H115" s="135"/>
      <c r="I115" s="131"/>
      <c r="J115" s="131"/>
    </row>
    <row r="116" spans="2:10" s="130" customFormat="1" x14ac:dyDescent="0.25">
      <c r="B116" s="134"/>
      <c r="C116" s="134"/>
      <c r="D116" s="134"/>
      <c r="E116" s="135"/>
      <c r="F116" s="331"/>
      <c r="G116" s="135"/>
      <c r="H116" s="135"/>
      <c r="I116" s="131"/>
      <c r="J116" s="131"/>
    </row>
    <row r="117" spans="2:10" s="130" customFormat="1" x14ac:dyDescent="0.25">
      <c r="B117" s="134"/>
      <c r="C117" s="134"/>
      <c r="D117" s="134"/>
      <c r="E117" s="135"/>
      <c r="F117" s="331"/>
      <c r="G117" s="135"/>
      <c r="H117" s="135"/>
      <c r="I117" s="131"/>
      <c r="J117" s="131"/>
    </row>
    <row r="118" spans="2:10" s="130" customFormat="1" x14ac:dyDescent="0.25">
      <c r="B118" s="134"/>
      <c r="C118" s="134"/>
      <c r="D118" s="134"/>
      <c r="E118" s="135"/>
      <c r="F118" s="331"/>
      <c r="G118" s="135"/>
      <c r="H118" s="135"/>
      <c r="I118" s="131"/>
      <c r="J118" s="131"/>
    </row>
    <row r="119" spans="2:10" s="130" customFormat="1" x14ac:dyDescent="0.25">
      <c r="B119" s="134"/>
      <c r="C119" s="134"/>
      <c r="D119" s="134"/>
      <c r="E119" s="135"/>
      <c r="F119" s="331"/>
      <c r="G119" s="135"/>
      <c r="H119" s="135"/>
      <c r="I119" s="131"/>
      <c r="J119" s="131"/>
    </row>
    <row r="120" spans="2:10" s="130" customFormat="1" x14ac:dyDescent="0.25">
      <c r="B120" s="134"/>
      <c r="C120" s="134"/>
      <c r="D120" s="134"/>
      <c r="E120" s="135"/>
      <c r="F120" s="331"/>
      <c r="G120" s="135"/>
      <c r="H120" s="135"/>
      <c r="I120" s="131"/>
      <c r="J120" s="131"/>
    </row>
    <row r="121" spans="2:10" s="130" customFormat="1" x14ac:dyDescent="0.25">
      <c r="B121" s="134"/>
      <c r="C121" s="134"/>
      <c r="D121" s="134"/>
      <c r="E121" s="135"/>
      <c r="F121" s="331"/>
      <c r="G121" s="135"/>
      <c r="H121" s="135"/>
      <c r="I121" s="131"/>
      <c r="J121" s="131"/>
    </row>
    <row r="122" spans="2:10" s="130" customFormat="1" x14ac:dyDescent="0.25">
      <c r="B122" s="134"/>
      <c r="C122" s="134"/>
      <c r="D122" s="134"/>
      <c r="E122" s="135"/>
      <c r="F122" s="331"/>
      <c r="G122" s="135"/>
      <c r="H122" s="135"/>
      <c r="I122" s="131"/>
      <c r="J122" s="131"/>
    </row>
    <row r="123" spans="2:10" s="130" customFormat="1" x14ac:dyDescent="0.25">
      <c r="B123" s="134"/>
      <c r="C123" s="134"/>
      <c r="D123" s="134"/>
      <c r="E123" s="135"/>
      <c r="F123" s="331"/>
      <c r="G123" s="135"/>
      <c r="H123" s="135"/>
      <c r="I123" s="131"/>
      <c r="J123" s="131"/>
    </row>
    <row r="124" spans="2:10" s="130" customFormat="1" x14ac:dyDescent="0.25">
      <c r="B124" s="134"/>
      <c r="C124" s="134"/>
      <c r="D124" s="134"/>
      <c r="E124" s="135"/>
      <c r="F124" s="331"/>
      <c r="G124" s="135"/>
      <c r="H124" s="135"/>
      <c r="I124" s="131"/>
      <c r="J124" s="131"/>
    </row>
    <row r="125" spans="2:10" s="130" customFormat="1" x14ac:dyDescent="0.25">
      <c r="B125" s="134"/>
      <c r="C125" s="134"/>
      <c r="D125" s="134"/>
      <c r="E125" s="135"/>
      <c r="F125" s="331"/>
      <c r="G125" s="135"/>
      <c r="H125" s="135"/>
      <c r="I125" s="131"/>
      <c r="J125" s="131"/>
    </row>
    <row r="126" spans="2:10" s="130" customFormat="1" x14ac:dyDescent="0.25">
      <c r="B126" s="134"/>
      <c r="C126" s="134"/>
      <c r="D126" s="134"/>
      <c r="E126" s="135"/>
      <c r="F126" s="331"/>
      <c r="G126" s="135"/>
      <c r="H126" s="135"/>
      <c r="I126" s="131"/>
      <c r="J126" s="131"/>
    </row>
    <row r="127" spans="2:10" s="130" customFormat="1" x14ac:dyDescent="0.25">
      <c r="B127" s="134"/>
      <c r="C127" s="134"/>
      <c r="D127" s="134"/>
      <c r="E127" s="135"/>
      <c r="F127" s="331"/>
      <c r="G127" s="135"/>
      <c r="H127" s="135"/>
      <c r="I127" s="131"/>
      <c r="J127" s="131"/>
    </row>
    <row r="128" spans="2:10" s="130" customFormat="1" x14ac:dyDescent="0.25">
      <c r="B128" s="134"/>
      <c r="C128" s="134"/>
      <c r="D128" s="134"/>
      <c r="E128" s="135"/>
      <c r="F128" s="331"/>
      <c r="G128" s="135"/>
      <c r="H128" s="135"/>
      <c r="I128" s="131"/>
      <c r="J128" s="131"/>
    </row>
    <row r="129" spans="2:10" s="130" customFormat="1" x14ac:dyDescent="0.25">
      <c r="B129" s="134"/>
      <c r="C129" s="134"/>
      <c r="D129" s="134"/>
      <c r="E129" s="135"/>
      <c r="F129" s="331"/>
      <c r="G129" s="135"/>
      <c r="H129" s="135"/>
      <c r="I129" s="131"/>
      <c r="J129" s="131"/>
    </row>
  </sheetData>
  <sheetProtection password="FB6B" sheet="1" formatCells="0" formatColumns="0" formatRows="0"/>
  <mergeCells count="92">
    <mergeCell ref="A89:C89"/>
    <mergeCell ref="D89:H89"/>
    <mergeCell ref="A83:C83"/>
    <mergeCell ref="A85:C85"/>
    <mergeCell ref="D85:H85"/>
    <mergeCell ref="A86:C86"/>
    <mergeCell ref="D86:H86"/>
    <mergeCell ref="A87:C87"/>
    <mergeCell ref="D87:H87"/>
    <mergeCell ref="A68:C68"/>
    <mergeCell ref="A81:C81"/>
    <mergeCell ref="A82:C82"/>
    <mergeCell ref="A88:C88"/>
    <mergeCell ref="D88:H88"/>
    <mergeCell ref="A76:C76"/>
    <mergeCell ref="A69:C69"/>
    <mergeCell ref="A70:C70"/>
    <mergeCell ref="A71:C71"/>
    <mergeCell ref="A72:C72"/>
    <mergeCell ref="A73:C73"/>
    <mergeCell ref="A74:C74"/>
    <mergeCell ref="A77:C77"/>
    <mergeCell ref="A78:C78"/>
    <mergeCell ref="A80:C80"/>
    <mergeCell ref="A79:C79"/>
    <mergeCell ref="A65:C65"/>
    <mergeCell ref="A66:C66"/>
    <mergeCell ref="A55:C55"/>
    <mergeCell ref="A56:C56"/>
    <mergeCell ref="A57:C57"/>
    <mergeCell ref="A58:C58"/>
    <mergeCell ref="A59:C59"/>
    <mergeCell ref="A61:C61"/>
    <mergeCell ref="A60:C60"/>
    <mergeCell ref="A67:C67"/>
    <mergeCell ref="A54:C54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62:C62"/>
    <mergeCell ref="A63:C63"/>
    <mergeCell ref="A64:C64"/>
    <mergeCell ref="A42:C42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16:C16"/>
    <mergeCell ref="A17:C17"/>
    <mergeCell ref="A30:C30"/>
    <mergeCell ref="A19:C19"/>
    <mergeCell ref="A20:C20"/>
    <mergeCell ref="A21:C21"/>
    <mergeCell ref="A22:C22"/>
    <mergeCell ref="A23:C23"/>
    <mergeCell ref="A24:C24"/>
    <mergeCell ref="A26:C26"/>
    <mergeCell ref="A27:C27"/>
    <mergeCell ref="A28:C28"/>
    <mergeCell ref="A29:C29"/>
    <mergeCell ref="A25:C25"/>
    <mergeCell ref="A75:C75"/>
    <mergeCell ref="A1:C1"/>
    <mergeCell ref="A6:C6"/>
    <mergeCell ref="I1:J1"/>
    <mergeCell ref="I2:J2"/>
    <mergeCell ref="A3:J3"/>
    <mergeCell ref="A18:C18"/>
    <mergeCell ref="A7:C7"/>
    <mergeCell ref="A8:C8"/>
    <mergeCell ref="A9:C9"/>
    <mergeCell ref="A10:C10"/>
    <mergeCell ref="A11:C11"/>
    <mergeCell ref="A12:C12"/>
    <mergeCell ref="A13:C13"/>
    <mergeCell ref="A14:C14"/>
    <mergeCell ref="A15:C15"/>
  </mergeCells>
  <printOptions horizontalCentered="1"/>
  <pageMargins left="0.19685039370078741" right="0.27559055118110237" top="0.59055118110236227" bottom="0.35433070866141736" header="0.39370078740157483" footer="0.31496062992125984"/>
  <pageSetup paperSize="9" scale="48" orientation="landscape" r:id="rId1"/>
  <headerFooter alignWithMargins="0">
    <oddFooter>&amp;RСтор.  &amp;P</oddFooter>
  </headerFooter>
  <rowBreaks count="1" manualBreakCount="1">
    <brk id="4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Аркуш8">
    <tabColor theme="9" tint="-0.249977111117893"/>
  </sheetPr>
  <dimension ref="A1:BB66"/>
  <sheetViews>
    <sheetView showGridLines="0" tabSelected="1" topLeftCell="C1" zoomScale="70" zoomScaleNormal="70" zoomScalePageLayoutView="50" workbookViewId="0">
      <selection activeCell="T20" sqref="T20"/>
    </sheetView>
  </sheetViews>
  <sheetFormatPr defaultRowHeight="18.75" x14ac:dyDescent="0.25"/>
  <cols>
    <col min="1" max="1" width="18.5703125" style="2" bestFit="1" customWidth="1"/>
    <col min="2" max="2" width="19.85546875" style="2" customWidth="1"/>
    <col min="3" max="3" width="6.5703125" style="145" customWidth="1"/>
    <col min="4" max="4" width="14.42578125" style="145" customWidth="1"/>
    <col min="5" max="5" width="21.140625" style="145" customWidth="1"/>
    <col min="6" max="6" width="17.85546875" style="4" customWidth="1"/>
    <col min="7" max="7" width="20.5703125" style="4" customWidth="1"/>
    <col min="8" max="8" width="17.85546875" style="4" customWidth="1"/>
    <col min="9" max="9" width="22" style="4" customWidth="1"/>
    <col min="10" max="10" width="21.42578125" style="4" customWidth="1"/>
    <col min="11" max="11" width="20.85546875" style="4" customWidth="1"/>
    <col min="12" max="12" width="20.85546875" style="332" customWidth="1"/>
    <col min="13" max="13" width="20" style="4" customWidth="1"/>
    <col min="14" max="14" width="19.5703125" style="4" customWidth="1"/>
    <col min="15" max="15" width="20.5703125" style="4" customWidth="1"/>
    <col min="16" max="17" width="16.140625" style="68" customWidth="1"/>
    <col min="18" max="19" width="15" style="68" customWidth="1"/>
    <col min="20" max="20" width="18" style="68" customWidth="1"/>
    <col min="21" max="22" width="18" style="130" customWidth="1"/>
    <col min="23" max="25" width="17.140625" style="130" customWidth="1"/>
    <col min="26" max="26" width="23.42578125" style="130" customWidth="1"/>
    <col min="27" max="32" width="29.42578125" style="130" customWidth="1"/>
    <col min="33" max="50" width="8.85546875" style="130"/>
    <col min="51" max="247" width="8.85546875" style="2"/>
    <col min="248" max="248" width="78.5703125" style="2" customWidth="1"/>
    <col min="249" max="251" width="19.42578125" style="2" customWidth="1"/>
    <col min="252" max="503" width="8.85546875" style="2"/>
    <col min="504" max="504" width="78.5703125" style="2" customWidth="1"/>
    <col min="505" max="507" width="19.42578125" style="2" customWidth="1"/>
    <col min="508" max="759" width="8.85546875" style="2"/>
    <col min="760" max="760" width="78.5703125" style="2" customWidth="1"/>
    <col min="761" max="763" width="19.42578125" style="2" customWidth="1"/>
    <col min="764" max="1015" width="8.85546875" style="2"/>
    <col min="1016" max="1016" width="78.5703125" style="2" customWidth="1"/>
    <col min="1017" max="1019" width="19.42578125" style="2" customWidth="1"/>
    <col min="1020" max="1271" width="8.85546875" style="2"/>
    <col min="1272" max="1272" width="78.5703125" style="2" customWidth="1"/>
    <col min="1273" max="1275" width="19.42578125" style="2" customWidth="1"/>
    <col min="1276" max="1527" width="8.85546875" style="2"/>
    <col min="1528" max="1528" width="78.5703125" style="2" customWidth="1"/>
    <col min="1529" max="1531" width="19.42578125" style="2" customWidth="1"/>
    <col min="1532" max="1783" width="8.85546875" style="2"/>
    <col min="1784" max="1784" width="78.5703125" style="2" customWidth="1"/>
    <col min="1785" max="1787" width="19.42578125" style="2" customWidth="1"/>
    <col min="1788" max="2039" width="8.85546875" style="2"/>
    <col min="2040" max="2040" width="78.5703125" style="2" customWidth="1"/>
    <col min="2041" max="2043" width="19.42578125" style="2" customWidth="1"/>
    <col min="2044" max="2295" width="8.85546875" style="2"/>
    <col min="2296" max="2296" width="78.5703125" style="2" customWidth="1"/>
    <col min="2297" max="2299" width="19.42578125" style="2" customWidth="1"/>
    <col min="2300" max="2551" width="8.85546875" style="2"/>
    <col min="2552" max="2552" width="78.5703125" style="2" customWidth="1"/>
    <col min="2553" max="2555" width="19.42578125" style="2" customWidth="1"/>
    <col min="2556" max="2807" width="8.85546875" style="2"/>
    <col min="2808" max="2808" width="78.5703125" style="2" customWidth="1"/>
    <col min="2809" max="2811" width="19.42578125" style="2" customWidth="1"/>
    <col min="2812" max="3063" width="8.85546875" style="2"/>
    <col min="3064" max="3064" width="78.5703125" style="2" customWidth="1"/>
    <col min="3065" max="3067" width="19.42578125" style="2" customWidth="1"/>
    <col min="3068" max="3319" width="8.85546875" style="2"/>
    <col min="3320" max="3320" width="78.5703125" style="2" customWidth="1"/>
    <col min="3321" max="3323" width="19.42578125" style="2" customWidth="1"/>
    <col min="3324" max="3575" width="8.85546875" style="2"/>
    <col min="3576" max="3576" width="78.5703125" style="2" customWidth="1"/>
    <col min="3577" max="3579" width="19.42578125" style="2" customWidth="1"/>
    <col min="3580" max="3831" width="8.85546875" style="2"/>
    <col min="3832" max="3832" width="78.5703125" style="2" customWidth="1"/>
    <col min="3833" max="3835" width="19.42578125" style="2" customWidth="1"/>
    <col min="3836" max="4087" width="8.85546875" style="2"/>
    <col min="4088" max="4088" width="78.5703125" style="2" customWidth="1"/>
    <col min="4089" max="4091" width="19.42578125" style="2" customWidth="1"/>
    <col min="4092" max="4343" width="8.85546875" style="2"/>
    <col min="4344" max="4344" width="78.5703125" style="2" customWidth="1"/>
    <col min="4345" max="4347" width="19.42578125" style="2" customWidth="1"/>
    <col min="4348" max="4599" width="8.85546875" style="2"/>
    <col min="4600" max="4600" width="78.5703125" style="2" customWidth="1"/>
    <col min="4601" max="4603" width="19.42578125" style="2" customWidth="1"/>
    <col min="4604" max="4855" width="8.85546875" style="2"/>
    <col min="4856" max="4856" width="78.5703125" style="2" customWidth="1"/>
    <col min="4857" max="4859" width="19.42578125" style="2" customWidth="1"/>
    <col min="4860" max="5111" width="8.85546875" style="2"/>
    <col min="5112" max="5112" width="78.5703125" style="2" customWidth="1"/>
    <col min="5113" max="5115" width="19.42578125" style="2" customWidth="1"/>
    <col min="5116" max="5367" width="8.85546875" style="2"/>
    <col min="5368" max="5368" width="78.5703125" style="2" customWidth="1"/>
    <col min="5369" max="5371" width="19.42578125" style="2" customWidth="1"/>
    <col min="5372" max="5623" width="8.85546875" style="2"/>
    <col min="5624" max="5624" width="78.5703125" style="2" customWidth="1"/>
    <col min="5625" max="5627" width="19.42578125" style="2" customWidth="1"/>
    <col min="5628" max="5879" width="8.85546875" style="2"/>
    <col min="5880" max="5880" width="78.5703125" style="2" customWidth="1"/>
    <col min="5881" max="5883" width="19.42578125" style="2" customWidth="1"/>
    <col min="5884" max="6135" width="8.85546875" style="2"/>
    <col min="6136" max="6136" width="78.5703125" style="2" customWidth="1"/>
    <col min="6137" max="6139" width="19.42578125" style="2" customWidth="1"/>
    <col min="6140" max="6391" width="8.85546875" style="2"/>
    <col min="6392" max="6392" width="78.5703125" style="2" customWidth="1"/>
    <col min="6393" max="6395" width="19.42578125" style="2" customWidth="1"/>
    <col min="6396" max="6647" width="8.85546875" style="2"/>
    <col min="6648" max="6648" width="78.5703125" style="2" customWidth="1"/>
    <col min="6649" max="6651" width="19.42578125" style="2" customWidth="1"/>
    <col min="6652" max="6903" width="8.85546875" style="2"/>
    <col min="6904" max="6904" width="78.5703125" style="2" customWidth="1"/>
    <col min="6905" max="6907" width="19.42578125" style="2" customWidth="1"/>
    <col min="6908" max="7159" width="8.85546875" style="2"/>
    <col min="7160" max="7160" width="78.5703125" style="2" customWidth="1"/>
    <col min="7161" max="7163" width="19.42578125" style="2" customWidth="1"/>
    <col min="7164" max="7415" width="8.85546875" style="2"/>
    <col min="7416" max="7416" width="78.5703125" style="2" customWidth="1"/>
    <col min="7417" max="7419" width="19.42578125" style="2" customWidth="1"/>
    <col min="7420" max="7671" width="8.85546875" style="2"/>
    <col min="7672" max="7672" width="78.5703125" style="2" customWidth="1"/>
    <col min="7673" max="7675" width="19.42578125" style="2" customWidth="1"/>
    <col min="7676" max="7927" width="8.85546875" style="2"/>
    <col min="7928" max="7928" width="78.5703125" style="2" customWidth="1"/>
    <col min="7929" max="7931" width="19.42578125" style="2" customWidth="1"/>
    <col min="7932" max="8183" width="8.85546875" style="2"/>
    <col min="8184" max="8184" width="78.5703125" style="2" customWidth="1"/>
    <col min="8185" max="8187" width="19.42578125" style="2" customWidth="1"/>
    <col min="8188" max="8439" width="8.85546875" style="2"/>
    <col min="8440" max="8440" width="78.5703125" style="2" customWidth="1"/>
    <col min="8441" max="8443" width="19.42578125" style="2" customWidth="1"/>
    <col min="8444" max="8695" width="8.85546875" style="2"/>
    <col min="8696" max="8696" width="78.5703125" style="2" customWidth="1"/>
    <col min="8697" max="8699" width="19.42578125" style="2" customWidth="1"/>
    <col min="8700" max="8951" width="8.85546875" style="2"/>
    <col min="8952" max="8952" width="78.5703125" style="2" customWidth="1"/>
    <col min="8953" max="8955" width="19.42578125" style="2" customWidth="1"/>
    <col min="8956" max="9207" width="8.85546875" style="2"/>
    <col min="9208" max="9208" width="78.5703125" style="2" customWidth="1"/>
    <col min="9209" max="9211" width="19.42578125" style="2" customWidth="1"/>
    <col min="9212" max="9463" width="8.85546875" style="2"/>
    <col min="9464" max="9464" width="78.5703125" style="2" customWidth="1"/>
    <col min="9465" max="9467" width="19.42578125" style="2" customWidth="1"/>
    <col min="9468" max="9719" width="8.85546875" style="2"/>
    <col min="9720" max="9720" width="78.5703125" style="2" customWidth="1"/>
    <col min="9721" max="9723" width="19.42578125" style="2" customWidth="1"/>
    <col min="9724" max="9975" width="8.85546875" style="2"/>
    <col min="9976" max="9976" width="78.5703125" style="2" customWidth="1"/>
    <col min="9977" max="9979" width="19.42578125" style="2" customWidth="1"/>
    <col min="9980" max="10231" width="8.85546875" style="2"/>
    <col min="10232" max="10232" width="78.5703125" style="2" customWidth="1"/>
    <col min="10233" max="10235" width="19.42578125" style="2" customWidth="1"/>
    <col min="10236" max="10487" width="8.85546875" style="2"/>
    <col min="10488" max="10488" width="78.5703125" style="2" customWidth="1"/>
    <col min="10489" max="10491" width="19.42578125" style="2" customWidth="1"/>
    <col min="10492" max="10743" width="8.85546875" style="2"/>
    <col min="10744" max="10744" width="78.5703125" style="2" customWidth="1"/>
    <col min="10745" max="10747" width="19.42578125" style="2" customWidth="1"/>
    <col min="10748" max="10999" width="8.85546875" style="2"/>
    <col min="11000" max="11000" width="78.5703125" style="2" customWidth="1"/>
    <col min="11001" max="11003" width="19.42578125" style="2" customWidth="1"/>
    <col min="11004" max="11255" width="8.85546875" style="2"/>
    <col min="11256" max="11256" width="78.5703125" style="2" customWidth="1"/>
    <col min="11257" max="11259" width="19.42578125" style="2" customWidth="1"/>
    <col min="11260" max="11511" width="8.85546875" style="2"/>
    <col min="11512" max="11512" width="78.5703125" style="2" customWidth="1"/>
    <col min="11513" max="11515" width="19.42578125" style="2" customWidth="1"/>
    <col min="11516" max="11767" width="8.85546875" style="2"/>
    <col min="11768" max="11768" width="78.5703125" style="2" customWidth="1"/>
    <col min="11769" max="11771" width="19.42578125" style="2" customWidth="1"/>
    <col min="11772" max="12023" width="8.85546875" style="2"/>
    <col min="12024" max="12024" width="78.5703125" style="2" customWidth="1"/>
    <col min="12025" max="12027" width="19.42578125" style="2" customWidth="1"/>
    <col min="12028" max="12279" width="8.85546875" style="2"/>
    <col min="12280" max="12280" width="78.5703125" style="2" customWidth="1"/>
    <col min="12281" max="12283" width="19.42578125" style="2" customWidth="1"/>
    <col min="12284" max="12535" width="8.85546875" style="2"/>
    <col min="12536" max="12536" width="78.5703125" style="2" customWidth="1"/>
    <col min="12537" max="12539" width="19.42578125" style="2" customWidth="1"/>
    <col min="12540" max="12791" width="8.85546875" style="2"/>
    <col min="12792" max="12792" width="78.5703125" style="2" customWidth="1"/>
    <col min="12793" max="12795" width="19.42578125" style="2" customWidth="1"/>
    <col min="12796" max="13047" width="8.85546875" style="2"/>
    <col min="13048" max="13048" width="78.5703125" style="2" customWidth="1"/>
    <col min="13049" max="13051" width="19.42578125" style="2" customWidth="1"/>
    <col min="13052" max="13303" width="8.85546875" style="2"/>
    <col min="13304" max="13304" width="78.5703125" style="2" customWidth="1"/>
    <col min="13305" max="13307" width="19.42578125" style="2" customWidth="1"/>
    <col min="13308" max="13559" width="8.85546875" style="2"/>
    <col min="13560" max="13560" width="78.5703125" style="2" customWidth="1"/>
    <col min="13561" max="13563" width="19.42578125" style="2" customWidth="1"/>
    <col min="13564" max="13815" width="8.85546875" style="2"/>
    <col min="13816" max="13816" width="78.5703125" style="2" customWidth="1"/>
    <col min="13817" max="13819" width="19.42578125" style="2" customWidth="1"/>
    <col min="13820" max="14071" width="8.85546875" style="2"/>
    <col min="14072" max="14072" width="78.5703125" style="2" customWidth="1"/>
    <col min="14073" max="14075" width="19.42578125" style="2" customWidth="1"/>
    <col min="14076" max="14327" width="8.85546875" style="2"/>
    <col min="14328" max="14328" width="78.5703125" style="2" customWidth="1"/>
    <col min="14329" max="14331" width="19.42578125" style="2" customWidth="1"/>
    <col min="14332" max="14583" width="8.85546875" style="2"/>
    <col min="14584" max="14584" width="78.5703125" style="2" customWidth="1"/>
    <col min="14585" max="14587" width="19.42578125" style="2" customWidth="1"/>
    <col min="14588" max="14839" width="8.85546875" style="2"/>
    <col min="14840" max="14840" width="78.5703125" style="2" customWidth="1"/>
    <col min="14841" max="14843" width="19.42578125" style="2" customWidth="1"/>
    <col min="14844" max="15095" width="8.85546875" style="2"/>
    <col min="15096" max="15096" width="78.5703125" style="2" customWidth="1"/>
    <col min="15097" max="15099" width="19.42578125" style="2" customWidth="1"/>
    <col min="15100" max="15351" width="8.85546875" style="2"/>
    <col min="15352" max="15352" width="78.5703125" style="2" customWidth="1"/>
    <col min="15353" max="15355" width="19.42578125" style="2" customWidth="1"/>
    <col min="15356" max="15607" width="8.85546875" style="2"/>
    <col min="15608" max="15608" width="78.5703125" style="2" customWidth="1"/>
    <col min="15609" max="15611" width="19.42578125" style="2" customWidth="1"/>
    <col min="15612" max="15863" width="8.85546875" style="2"/>
    <col min="15864" max="15864" width="78.5703125" style="2" customWidth="1"/>
    <col min="15865" max="15867" width="19.42578125" style="2" customWidth="1"/>
    <col min="15868" max="16119" width="8.85546875" style="2"/>
    <col min="16120" max="16120" width="78.5703125" style="2" customWidth="1"/>
    <col min="16121" max="16123" width="19.42578125" style="2" customWidth="1"/>
    <col min="16124" max="16380" width="8.85546875" style="2"/>
    <col min="16381" max="16381" width="9.140625" style="2" customWidth="1"/>
    <col min="16382" max="16383" width="8.85546875" style="2"/>
    <col min="16384" max="16384" width="9.140625" style="2" customWidth="1"/>
  </cols>
  <sheetData>
    <row r="1" spans="1:53" ht="27" customHeight="1" x14ac:dyDescent="0.3">
      <c r="B1" s="1086" t="s">
        <v>0</v>
      </c>
      <c r="C1" s="1086"/>
      <c r="D1" s="1086"/>
      <c r="E1" s="624">
        <f>'Звіт 1,2,3'!D1</f>
        <v>37650571</v>
      </c>
      <c r="F1" s="429" t="s">
        <v>1</v>
      </c>
      <c r="G1" s="624">
        <f>'Звіт 1,2,3'!H1</f>
        <v>150</v>
      </c>
      <c r="H1" s="1"/>
      <c r="I1" s="1"/>
      <c r="J1" s="1"/>
      <c r="K1" s="1"/>
      <c r="L1" s="11"/>
      <c r="M1" s="1"/>
      <c r="N1" s="1"/>
      <c r="P1" s="1377" t="s">
        <v>3</v>
      </c>
      <c r="Q1" s="1377"/>
      <c r="R1" s="346"/>
      <c r="S1" s="346"/>
      <c r="T1" s="458"/>
      <c r="W1" s="131"/>
      <c r="X1" s="131"/>
      <c r="Y1" s="131"/>
      <c r="Z1" s="131"/>
    </row>
    <row r="2" spans="1:53" ht="22.35" customHeight="1" x14ac:dyDescent="0.3">
      <c r="B2" s="26"/>
      <c r="C2" s="1"/>
      <c r="D2" s="2"/>
      <c r="F2" s="145"/>
      <c r="G2" s="145"/>
      <c r="H2" s="145"/>
      <c r="I2" s="145"/>
      <c r="J2" s="145"/>
      <c r="K2" s="145"/>
      <c r="L2" s="436"/>
      <c r="M2" s="145"/>
      <c r="N2" s="145"/>
      <c r="O2" s="145"/>
      <c r="P2" s="1378" t="s">
        <v>346</v>
      </c>
      <c r="Q2" s="1378"/>
      <c r="R2" s="347"/>
      <c r="S2" s="347"/>
      <c r="T2" s="458"/>
      <c r="W2" s="131"/>
      <c r="X2" s="131"/>
      <c r="Y2" s="131"/>
      <c r="Z2" s="131"/>
    </row>
    <row r="3" spans="1:53" ht="32.450000000000003" customHeight="1" x14ac:dyDescent="0.25">
      <c r="B3" s="1085" t="str">
        <f>'Звіт 1,2,3'!A3</f>
        <v>ЗВІТ ПРО ДОХОДИ ТА ВИТРАТИ за 1 півріччя 2020 року</v>
      </c>
      <c r="C3" s="1085"/>
      <c r="D3" s="1085"/>
      <c r="E3" s="1085"/>
      <c r="F3" s="1085"/>
      <c r="G3" s="1085"/>
      <c r="H3" s="1085"/>
      <c r="I3" s="1085"/>
      <c r="J3" s="1085"/>
      <c r="K3" s="1085"/>
      <c r="L3" s="1085"/>
      <c r="M3" s="1085"/>
      <c r="N3" s="1085"/>
      <c r="O3" s="1085"/>
      <c r="P3" s="1085"/>
      <c r="Q3" s="1085"/>
      <c r="R3" s="20"/>
      <c r="S3" s="20"/>
      <c r="T3" s="20"/>
      <c r="U3" s="132"/>
      <c r="V3" s="132"/>
      <c r="W3" s="131"/>
      <c r="X3" s="131"/>
      <c r="Y3" s="131"/>
      <c r="Z3" s="131"/>
    </row>
    <row r="4" spans="1:53" ht="32.450000000000003" customHeight="1" x14ac:dyDescent="0.25">
      <c r="A4" s="578"/>
      <c r="B4" s="432" t="s">
        <v>650</v>
      </c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20"/>
      <c r="S4" s="20"/>
      <c r="T4" s="20"/>
      <c r="U4" s="132"/>
      <c r="V4" s="132"/>
      <c r="W4" s="131"/>
      <c r="X4" s="131"/>
      <c r="Y4" s="131"/>
      <c r="Z4" s="131"/>
    </row>
    <row r="5" spans="1:53" ht="27.6" customHeight="1" x14ac:dyDescent="0.25">
      <c r="B5" s="1386" t="s">
        <v>697</v>
      </c>
      <c r="C5" s="1386"/>
      <c r="D5" s="1386"/>
      <c r="E5" s="1386"/>
      <c r="F5" s="1386"/>
      <c r="G5" s="1386"/>
      <c r="H5" s="1386"/>
      <c r="I5" s="1386"/>
      <c r="J5" s="1386"/>
      <c r="K5" s="1386"/>
      <c r="L5" s="436"/>
      <c r="M5" s="145"/>
      <c r="N5" s="145"/>
      <c r="O5" s="145"/>
    </row>
    <row r="6" spans="1:53" ht="20.45" customHeight="1" thickBot="1" x14ac:dyDescent="0.3">
      <c r="B6" s="17"/>
      <c r="C6" s="7"/>
      <c r="D6" s="7"/>
      <c r="E6" s="7"/>
      <c r="F6" s="145"/>
      <c r="G6" s="145"/>
      <c r="H6" s="145"/>
      <c r="I6" s="145"/>
      <c r="J6" s="145"/>
      <c r="K6" s="145"/>
      <c r="L6" s="436"/>
      <c r="M6" s="145"/>
      <c r="N6" s="145"/>
      <c r="Y6" s="565" t="s">
        <v>305</v>
      </c>
      <c r="Z6" s="134"/>
    </row>
    <row r="7" spans="1:53" s="10" customFormat="1" ht="43.35" customHeight="1" x14ac:dyDescent="0.25">
      <c r="A7" s="1402" t="s">
        <v>40</v>
      </c>
      <c r="B7" s="1395" t="s">
        <v>781</v>
      </c>
      <c r="C7" s="1395"/>
      <c r="D7" s="1395"/>
      <c r="E7" s="1381" t="s">
        <v>592</v>
      </c>
      <c r="F7" s="1379" t="s">
        <v>642</v>
      </c>
      <c r="G7" s="1380"/>
      <c r="H7" s="1380"/>
      <c r="I7" s="1380"/>
      <c r="J7" s="1381"/>
      <c r="K7" s="1379" t="s">
        <v>589</v>
      </c>
      <c r="L7" s="1380"/>
      <c r="M7" s="1380"/>
      <c r="N7" s="1380"/>
      <c r="O7" s="1382"/>
      <c r="P7" s="1383" t="s">
        <v>591</v>
      </c>
      <c r="Q7" s="1384"/>
      <c r="R7" s="1384"/>
      <c r="S7" s="1384"/>
      <c r="T7" s="1385"/>
      <c r="U7" s="1393" t="s">
        <v>590</v>
      </c>
      <c r="V7" s="1384"/>
      <c r="W7" s="1384"/>
      <c r="X7" s="1384"/>
      <c r="Y7" s="1385"/>
      <c r="Z7" s="1387" t="s">
        <v>780</v>
      </c>
      <c r="AA7" s="1388"/>
      <c r="AB7" s="446"/>
      <c r="AC7" s="446"/>
      <c r="AD7" s="446"/>
      <c r="AE7" s="446"/>
      <c r="AF7" s="446"/>
      <c r="AG7" s="446"/>
      <c r="AH7" s="446"/>
      <c r="AI7" s="446"/>
      <c r="AJ7" s="446"/>
      <c r="AK7" s="446"/>
      <c r="AL7" s="446"/>
      <c r="AM7" s="446"/>
      <c r="AN7" s="446"/>
      <c r="AO7" s="446"/>
      <c r="AP7" s="446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</row>
    <row r="8" spans="1:53" s="10" customFormat="1" ht="70.349999999999994" customHeight="1" thickBot="1" x14ac:dyDescent="0.3">
      <c r="A8" s="1403"/>
      <c r="B8" s="1396"/>
      <c r="C8" s="1396"/>
      <c r="D8" s="1396"/>
      <c r="E8" s="1394"/>
      <c r="F8" s="822" t="s">
        <v>316</v>
      </c>
      <c r="G8" s="618" t="s">
        <v>644</v>
      </c>
      <c r="H8" s="618" t="s">
        <v>588</v>
      </c>
      <c r="I8" s="618" t="s">
        <v>649</v>
      </c>
      <c r="J8" s="826" t="s">
        <v>852</v>
      </c>
      <c r="K8" s="822" t="s">
        <v>303</v>
      </c>
      <c r="L8" s="618" t="str">
        <f>G8</f>
        <v>Безоплатно отримані</v>
      </c>
      <c r="M8" s="618" t="str">
        <f>H8</f>
        <v>Отримані як цільове фінансування</v>
      </c>
      <c r="N8" s="618" t="str">
        <f>I8</f>
        <v>Отримано як устаний капітал</v>
      </c>
      <c r="O8" s="730" t="str">
        <f>J8</f>
        <v>Інше (ПМГ та власні кошти)</v>
      </c>
      <c r="P8" s="822" t="s">
        <v>303</v>
      </c>
      <c r="Q8" s="618" t="str">
        <f>L8</f>
        <v>Безоплатно отримані</v>
      </c>
      <c r="R8" s="618" t="str">
        <f>M8</f>
        <v>Отримані як цільове фінансування</v>
      </c>
      <c r="S8" s="618" t="str">
        <f>N8</f>
        <v>Отримано як устаний капітал</v>
      </c>
      <c r="T8" s="730" t="str">
        <f t="shared" ref="T8" si="0">O8</f>
        <v>Інше (ПМГ та власні кошти)</v>
      </c>
      <c r="U8" s="820" t="s">
        <v>303</v>
      </c>
      <c r="V8" s="618" t="str">
        <f>Q8</f>
        <v>Безоплатно отримані</v>
      </c>
      <c r="W8" s="618" t="str">
        <f>R8</f>
        <v>Отримані як цільове фінансування</v>
      </c>
      <c r="X8" s="618" t="str">
        <f>S8</f>
        <v>Отримано як устаний капітал</v>
      </c>
      <c r="Y8" s="730" t="str">
        <f t="shared" ref="Y8" si="1">T8</f>
        <v>Інше (ПМГ та власні кошти)</v>
      </c>
      <c r="Z8" s="900" t="s">
        <v>303</v>
      </c>
      <c r="AA8" s="901" t="s">
        <v>588</v>
      </c>
      <c r="AB8" s="435"/>
      <c r="AC8" s="435"/>
      <c r="AD8" s="446"/>
      <c r="AE8" s="446"/>
      <c r="AF8" s="446"/>
      <c r="AG8" s="446"/>
      <c r="AH8" s="446"/>
      <c r="AI8" s="446"/>
      <c r="AJ8" s="446"/>
      <c r="AK8" s="446"/>
      <c r="AL8" s="446"/>
      <c r="AM8" s="446"/>
      <c r="AN8" s="446"/>
      <c r="AO8" s="446"/>
      <c r="AP8" s="446"/>
      <c r="AQ8" s="127"/>
      <c r="AR8" s="127"/>
      <c r="AS8" s="127"/>
      <c r="AT8" s="127"/>
      <c r="AU8" s="127"/>
      <c r="AV8" s="127"/>
      <c r="AW8" s="127"/>
      <c r="AX8" s="127"/>
      <c r="AY8" s="127"/>
      <c r="AZ8" s="127"/>
    </row>
    <row r="9" spans="1:53" s="10" customFormat="1" ht="23.25" customHeight="1" thickBot="1" x14ac:dyDescent="0.35">
      <c r="A9" s="815">
        <v>1</v>
      </c>
      <c r="B9" s="1407">
        <v>2</v>
      </c>
      <c r="C9" s="1407"/>
      <c r="D9" s="1407"/>
      <c r="E9" s="818">
        <v>3</v>
      </c>
      <c r="F9" s="815">
        <v>4</v>
      </c>
      <c r="G9" s="816">
        <v>5</v>
      </c>
      <c r="H9" s="816">
        <v>6</v>
      </c>
      <c r="I9" s="816">
        <v>7</v>
      </c>
      <c r="J9" s="818">
        <v>8</v>
      </c>
      <c r="K9" s="815">
        <v>9</v>
      </c>
      <c r="L9" s="816">
        <v>10</v>
      </c>
      <c r="M9" s="816">
        <v>11</v>
      </c>
      <c r="N9" s="816">
        <v>12</v>
      </c>
      <c r="O9" s="817">
        <v>13</v>
      </c>
      <c r="P9" s="815">
        <v>14</v>
      </c>
      <c r="Q9" s="816">
        <v>15</v>
      </c>
      <c r="R9" s="816">
        <v>16</v>
      </c>
      <c r="S9" s="816">
        <v>17</v>
      </c>
      <c r="T9" s="817">
        <v>18</v>
      </c>
      <c r="U9" s="821">
        <v>19</v>
      </c>
      <c r="V9" s="816">
        <v>20</v>
      </c>
      <c r="W9" s="816">
        <v>21</v>
      </c>
      <c r="X9" s="816">
        <v>22</v>
      </c>
      <c r="Y9" s="817">
        <v>23</v>
      </c>
      <c r="Z9" s="902">
        <v>24</v>
      </c>
      <c r="AA9" s="903">
        <v>25</v>
      </c>
      <c r="AB9" s="446"/>
      <c r="AC9" s="446"/>
      <c r="AD9" s="446"/>
      <c r="AE9" s="446"/>
      <c r="AF9" s="446"/>
      <c r="AG9" s="446"/>
      <c r="AH9" s="446"/>
      <c r="AI9" s="446"/>
      <c r="AJ9" s="446"/>
      <c r="AK9" s="446"/>
      <c r="AL9" s="446"/>
      <c r="AM9" s="446"/>
      <c r="AN9" s="446"/>
      <c r="AO9" s="446"/>
      <c r="AP9" s="446"/>
      <c r="AQ9" s="127"/>
      <c r="AR9" s="127"/>
      <c r="AS9" s="127"/>
      <c r="AT9" s="127"/>
      <c r="AU9" s="127"/>
      <c r="AV9" s="127"/>
      <c r="AW9" s="127"/>
      <c r="AX9" s="127"/>
      <c r="AY9" s="127"/>
      <c r="AZ9" s="127"/>
    </row>
    <row r="10" spans="1:53" s="10" customFormat="1" ht="22.35" customHeight="1" x14ac:dyDescent="0.3">
      <c r="A10" s="568" t="s">
        <v>601</v>
      </c>
      <c r="B10" s="1322" t="s">
        <v>624</v>
      </c>
      <c r="C10" s="1322"/>
      <c r="D10" s="1322"/>
      <c r="E10" s="462">
        <v>1000</v>
      </c>
      <c r="F10" s="574">
        <f>G10+H10+J10+I10</f>
        <v>0</v>
      </c>
      <c r="G10" s="825">
        <f>G11-G12+G13</f>
        <v>0</v>
      </c>
      <c r="H10" s="825">
        <f t="shared" ref="H10:J10" si="2">H11-H12+H13</f>
        <v>0</v>
      </c>
      <c r="I10" s="825">
        <f t="shared" si="2"/>
        <v>0</v>
      </c>
      <c r="J10" s="825">
        <f t="shared" si="2"/>
        <v>0</v>
      </c>
      <c r="K10" s="884" t="s">
        <v>341</v>
      </c>
      <c r="L10" s="500" t="s">
        <v>341</v>
      </c>
      <c r="M10" s="500" t="s">
        <v>341</v>
      </c>
      <c r="N10" s="500" t="s">
        <v>341</v>
      </c>
      <c r="O10" s="885" t="s">
        <v>341</v>
      </c>
      <c r="P10" s="884" t="s">
        <v>341</v>
      </c>
      <c r="Q10" s="500" t="s">
        <v>341</v>
      </c>
      <c r="R10" s="500" t="s">
        <v>341</v>
      </c>
      <c r="S10" s="500" t="s">
        <v>341</v>
      </c>
      <c r="T10" s="885" t="s">
        <v>341</v>
      </c>
      <c r="U10" s="886">
        <f>V10+W10+Y10+X10</f>
        <v>0</v>
      </c>
      <c r="V10" s="887">
        <f t="shared" ref="V10:W10" si="3">V11-V12+V13</f>
        <v>0</v>
      </c>
      <c r="W10" s="887">
        <f t="shared" si="3"/>
        <v>0</v>
      </c>
      <c r="X10" s="887">
        <f>X11-X12+X13</f>
        <v>0</v>
      </c>
      <c r="Y10" s="888">
        <f t="shared" ref="Y10" si="4">Y11-Y12+Y13</f>
        <v>0</v>
      </c>
      <c r="Z10" s="1389" t="s">
        <v>774</v>
      </c>
      <c r="AA10" s="1398" t="s">
        <v>743</v>
      </c>
      <c r="AB10" s="446"/>
      <c r="AC10" s="446"/>
      <c r="AD10" s="446"/>
      <c r="AE10" s="446"/>
      <c r="AF10" s="446"/>
      <c r="AG10" s="446"/>
      <c r="AH10" s="446"/>
      <c r="AI10" s="446"/>
      <c r="AJ10" s="446"/>
      <c r="AK10" s="446"/>
      <c r="AL10" s="446"/>
      <c r="AM10" s="446"/>
      <c r="AN10" s="446"/>
      <c r="AO10" s="446"/>
      <c r="AP10" s="446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</row>
    <row r="11" spans="1:53" s="10" customFormat="1" ht="35.450000000000003" customHeight="1" x14ac:dyDescent="0.3">
      <c r="A11" s="568" t="s">
        <v>603</v>
      </c>
      <c r="B11" s="1324" t="s">
        <v>645</v>
      </c>
      <c r="C11" s="1324"/>
      <c r="D11" s="1324"/>
      <c r="E11" s="463">
        <v>1001</v>
      </c>
      <c r="F11" s="574">
        <f>G11+H11+J11+I11</f>
        <v>0</v>
      </c>
      <c r="G11" s="654">
        <v>0</v>
      </c>
      <c r="H11" s="824">
        <v>0</v>
      </c>
      <c r="I11" s="567">
        <v>0</v>
      </c>
      <c r="J11" s="827">
        <v>0</v>
      </c>
      <c r="K11" s="574">
        <f>L11+M11+O11+N11</f>
        <v>0</v>
      </c>
      <c r="L11" s="567">
        <v>0</v>
      </c>
      <c r="M11" s="567">
        <v>0</v>
      </c>
      <c r="N11" s="567">
        <v>0</v>
      </c>
      <c r="O11" s="569">
        <v>0</v>
      </c>
      <c r="P11" s="574">
        <f>Q11+R11+T11+S11</f>
        <v>0</v>
      </c>
      <c r="Q11" s="567">
        <v>0</v>
      </c>
      <c r="R11" s="567">
        <v>0</v>
      </c>
      <c r="S11" s="567">
        <v>0</v>
      </c>
      <c r="T11" s="569">
        <v>0</v>
      </c>
      <c r="U11" s="886">
        <f>V11+W11+Y11+X11</f>
        <v>0</v>
      </c>
      <c r="V11" s="889">
        <f>G11+L11-Q11</f>
        <v>0</v>
      </c>
      <c r="W11" s="890">
        <f>H11+M11-R11</f>
        <v>0</v>
      </c>
      <c r="X11" s="891">
        <f>I11+N11-S11</f>
        <v>0</v>
      </c>
      <c r="Y11" s="892">
        <f t="shared" ref="Y11" si="5">J11+O11-T11</f>
        <v>0</v>
      </c>
      <c r="Z11" s="1390"/>
      <c r="AA11" s="1399"/>
      <c r="AB11" s="446"/>
      <c r="AC11" s="446"/>
      <c r="AD11" s="446"/>
      <c r="AE11" s="446"/>
      <c r="AF11" s="446"/>
      <c r="AG11" s="446"/>
      <c r="AH11" s="446"/>
      <c r="AI11" s="446"/>
      <c r="AJ11" s="446"/>
      <c r="AK11" s="446"/>
      <c r="AL11" s="446"/>
      <c r="AM11" s="446"/>
      <c r="AN11" s="446"/>
      <c r="AO11" s="446"/>
      <c r="AP11" s="446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</row>
    <row r="12" spans="1:53" s="10" customFormat="1" ht="22.35" customHeight="1" x14ac:dyDescent="0.3">
      <c r="A12" s="568" t="s">
        <v>604</v>
      </c>
      <c r="B12" s="1324" t="s">
        <v>625</v>
      </c>
      <c r="C12" s="1324"/>
      <c r="D12" s="1324"/>
      <c r="E12" s="464">
        <v>1002</v>
      </c>
      <c r="F12" s="574">
        <f t="shared" ref="F12:F13" si="6">G12+H12+J12+I12</f>
        <v>0</v>
      </c>
      <c r="G12" s="654">
        <v>0</v>
      </c>
      <c r="H12" s="824">
        <v>0</v>
      </c>
      <c r="I12" s="567">
        <v>0</v>
      </c>
      <c r="J12" s="827">
        <v>0</v>
      </c>
      <c r="K12" s="574">
        <f>L12+M12+O12+N12</f>
        <v>0</v>
      </c>
      <c r="L12" s="567">
        <v>0</v>
      </c>
      <c r="M12" s="567">
        <v>0</v>
      </c>
      <c r="N12" s="567">
        <v>0</v>
      </c>
      <c r="O12" s="569">
        <v>0</v>
      </c>
      <c r="P12" s="574">
        <f>Q12+R12+T12+S12</f>
        <v>0</v>
      </c>
      <c r="Q12" s="567">
        <v>0</v>
      </c>
      <c r="R12" s="567">
        <v>0</v>
      </c>
      <c r="S12" s="567">
        <v>0</v>
      </c>
      <c r="T12" s="569">
        <v>0</v>
      </c>
      <c r="U12" s="886">
        <f>V12+W12+Y12+X12</f>
        <v>0</v>
      </c>
      <c r="V12" s="889">
        <f>G12+Q12-L12</f>
        <v>0</v>
      </c>
      <c r="W12" s="890">
        <f>H12+R12-M12</f>
        <v>0</v>
      </c>
      <c r="X12" s="891">
        <f>I12+S12-N12</f>
        <v>0</v>
      </c>
      <c r="Y12" s="892">
        <f>J12+T12-O12</f>
        <v>0</v>
      </c>
      <c r="Z12" s="1390"/>
      <c r="AA12" s="1399"/>
      <c r="AB12" s="446"/>
      <c r="AC12" s="446"/>
      <c r="AD12" s="446"/>
      <c r="AE12" s="446"/>
      <c r="AF12" s="446"/>
      <c r="AG12" s="446"/>
      <c r="AH12" s="446"/>
      <c r="AI12" s="446"/>
      <c r="AJ12" s="446"/>
      <c r="AK12" s="446"/>
      <c r="AL12" s="446"/>
      <c r="AM12" s="446"/>
      <c r="AN12" s="446"/>
      <c r="AO12" s="446"/>
      <c r="AP12" s="446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</row>
    <row r="13" spans="1:53" s="10" customFormat="1" ht="22.35" customHeight="1" thickBot="1" x14ac:dyDescent="0.35">
      <c r="A13" s="568" t="s">
        <v>707</v>
      </c>
      <c r="B13" s="1404" t="s">
        <v>646</v>
      </c>
      <c r="C13" s="1404"/>
      <c r="D13" s="1404"/>
      <c r="E13" s="464"/>
      <c r="F13" s="802">
        <f t="shared" si="6"/>
        <v>0</v>
      </c>
      <c r="G13" s="832">
        <v>0</v>
      </c>
      <c r="H13" s="832">
        <v>0</v>
      </c>
      <c r="I13" s="567">
        <v>0</v>
      </c>
      <c r="J13" s="827">
        <v>0</v>
      </c>
      <c r="K13" s="574">
        <f>L13+M13+O13+N13</f>
        <v>0</v>
      </c>
      <c r="L13" s="567">
        <v>0</v>
      </c>
      <c r="M13" s="567">
        <v>0</v>
      </c>
      <c r="N13" s="567">
        <v>0</v>
      </c>
      <c r="O13" s="569">
        <v>0</v>
      </c>
      <c r="P13" s="574">
        <f>Q13+R13+T13+S13</f>
        <v>0</v>
      </c>
      <c r="Q13" s="567">
        <v>0</v>
      </c>
      <c r="R13" s="567">
        <v>0</v>
      </c>
      <c r="S13" s="567">
        <v>0</v>
      </c>
      <c r="T13" s="569">
        <v>0</v>
      </c>
      <c r="U13" s="893">
        <f>V13+W13+Y13+X13</f>
        <v>0</v>
      </c>
      <c r="V13" s="894">
        <f t="shared" ref="V13:X13" si="7">G13+L13-Q13</f>
        <v>0</v>
      </c>
      <c r="W13" s="894">
        <f t="shared" si="7"/>
        <v>0</v>
      </c>
      <c r="X13" s="891">
        <f t="shared" si="7"/>
        <v>0</v>
      </c>
      <c r="Y13" s="892">
        <f t="shared" ref="Y13" si="8">J13+O13-T13</f>
        <v>0</v>
      </c>
      <c r="Z13" s="1392"/>
      <c r="AA13" s="1400"/>
      <c r="AB13" s="446"/>
      <c r="AC13" s="446"/>
      <c r="AD13" s="446"/>
      <c r="AE13" s="446"/>
      <c r="AF13" s="446"/>
      <c r="AG13" s="446"/>
      <c r="AH13" s="446"/>
      <c r="AI13" s="446"/>
      <c r="AJ13" s="446"/>
      <c r="AK13" s="446"/>
      <c r="AL13" s="446"/>
      <c r="AM13" s="446"/>
      <c r="AN13" s="446"/>
      <c r="AO13" s="446"/>
      <c r="AP13" s="446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</row>
    <row r="14" spans="1:53" s="10" customFormat="1" ht="22.35" customHeight="1" thickBot="1" x14ac:dyDescent="0.35">
      <c r="A14" s="568" t="s">
        <v>602</v>
      </c>
      <c r="B14" s="1316" t="s">
        <v>105</v>
      </c>
      <c r="C14" s="1316"/>
      <c r="D14" s="1316"/>
      <c r="E14" s="464">
        <v>1005</v>
      </c>
      <c r="F14" s="574">
        <f>H14+J14+I14</f>
        <v>0</v>
      </c>
      <c r="G14" s="951" t="s">
        <v>341</v>
      </c>
      <c r="H14" s="832">
        <v>0</v>
      </c>
      <c r="I14" s="567">
        <v>0</v>
      </c>
      <c r="J14" s="827">
        <v>0</v>
      </c>
      <c r="K14" s="574">
        <f>M14+O14+N14+L14</f>
        <v>0</v>
      </c>
      <c r="L14" s="567">
        <v>0</v>
      </c>
      <c r="M14" s="567">
        <v>0</v>
      </c>
      <c r="N14" s="567">
        <v>0</v>
      </c>
      <c r="O14" s="569">
        <v>0</v>
      </c>
      <c r="P14" s="574">
        <f>T14+S14+R14</f>
        <v>0</v>
      </c>
      <c r="Q14" s="950" t="s">
        <v>341</v>
      </c>
      <c r="R14" s="567">
        <v>0</v>
      </c>
      <c r="S14" s="567">
        <v>0</v>
      </c>
      <c r="T14" s="569">
        <v>0</v>
      </c>
      <c r="U14" s="886">
        <f>W14+Y14+X14</f>
        <v>0</v>
      </c>
      <c r="V14" s="894" t="s">
        <v>341</v>
      </c>
      <c r="W14" s="894">
        <f>H14+M14-R14</f>
        <v>0</v>
      </c>
      <c r="X14" s="891">
        <f>I14+N14-S14</f>
        <v>0</v>
      </c>
      <c r="Y14" s="892">
        <f>J14+O14-T14</f>
        <v>0</v>
      </c>
      <c r="Z14" s="812" t="b">
        <f>IF('Звіт   4,5,6'!E36=0,"Дані не введено",IF(K14='Звіт 1,2,3'!G65,TRUE,FALSE))</f>
        <v>1</v>
      </c>
      <c r="AA14" s="322" t="b">
        <f>IF('Звіт   4,5,6'!E36=0,"Дані не введено",IF((L14+M14)=('Звіт 1,2,3'!I65+'Звіт 1,2,3'!J65+'Звіт 1,2,3'!K65+'Звіт 1,2,3'!L65+'Звіт 1,2,3'!M65+'Звіт 1,2,3'!N65),TRUE,FALSE))</f>
        <v>1</v>
      </c>
      <c r="AB14" s="446"/>
      <c r="AC14" s="446"/>
      <c r="AD14" s="446"/>
      <c r="AE14" s="446"/>
      <c r="AF14" s="446"/>
      <c r="AG14" s="446"/>
      <c r="AH14" s="446"/>
      <c r="AI14" s="446"/>
      <c r="AJ14" s="446"/>
      <c r="AK14" s="446"/>
      <c r="AL14" s="446"/>
      <c r="AM14" s="446"/>
      <c r="AN14" s="446"/>
      <c r="AO14" s="446"/>
      <c r="AP14" s="446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</row>
    <row r="15" spans="1:53" s="10" customFormat="1" ht="22.35" customHeight="1" x14ac:dyDescent="0.3">
      <c r="A15" s="568" t="s">
        <v>605</v>
      </c>
      <c r="B15" s="1322" t="s">
        <v>106</v>
      </c>
      <c r="C15" s="1322"/>
      <c r="D15" s="1322"/>
      <c r="E15" s="462">
        <v>1010</v>
      </c>
      <c r="F15" s="574">
        <f>G15+H15+J15+I15</f>
        <v>6147134</v>
      </c>
      <c r="G15" s="814">
        <f>G16-G17+G18</f>
        <v>2990843</v>
      </c>
      <c r="H15" s="814">
        <f t="shared" ref="H15:J15" si="9">H16-H17+H18</f>
        <v>3155291</v>
      </c>
      <c r="I15" s="814">
        <f t="shared" si="9"/>
        <v>1000</v>
      </c>
      <c r="J15" s="825">
        <f t="shared" si="9"/>
        <v>0</v>
      </c>
      <c r="K15" s="884" t="s">
        <v>341</v>
      </c>
      <c r="L15" s="500" t="s">
        <v>341</v>
      </c>
      <c r="M15" s="500" t="s">
        <v>341</v>
      </c>
      <c r="N15" s="500" t="s">
        <v>341</v>
      </c>
      <c r="O15" s="885" t="s">
        <v>341</v>
      </c>
      <c r="P15" s="884" t="s">
        <v>341</v>
      </c>
      <c r="Q15" s="500" t="s">
        <v>341</v>
      </c>
      <c r="R15" s="500" t="s">
        <v>341</v>
      </c>
      <c r="S15" s="500" t="s">
        <v>341</v>
      </c>
      <c r="T15" s="885" t="s">
        <v>341</v>
      </c>
      <c r="U15" s="886">
        <f>V15+W15+Y15+X15</f>
        <v>5829309</v>
      </c>
      <c r="V15" s="891">
        <f>V16-V17+V18</f>
        <v>2844611</v>
      </c>
      <c r="W15" s="891">
        <f t="shared" ref="W15:Y15" si="10">W16-W17+W18</f>
        <v>2983698</v>
      </c>
      <c r="X15" s="891">
        <f t="shared" si="10"/>
        <v>1000</v>
      </c>
      <c r="Y15" s="892">
        <f t="shared" si="10"/>
        <v>0</v>
      </c>
      <c r="Z15" s="1389" t="s">
        <v>775</v>
      </c>
      <c r="AA15" s="1398" t="s">
        <v>744</v>
      </c>
      <c r="AB15" s="446"/>
      <c r="AC15" s="446"/>
      <c r="AD15" s="446"/>
      <c r="AE15" s="446"/>
      <c r="AF15" s="446"/>
      <c r="AG15" s="446"/>
      <c r="AH15" s="446"/>
      <c r="AI15" s="446"/>
      <c r="AJ15" s="446"/>
      <c r="AK15" s="446"/>
      <c r="AL15" s="446"/>
      <c r="AM15" s="446"/>
      <c r="AN15" s="446"/>
      <c r="AO15" s="446"/>
      <c r="AP15" s="446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</row>
    <row r="16" spans="1:53" s="10" customFormat="1" ht="34.35" customHeight="1" x14ac:dyDescent="0.3">
      <c r="A16" s="568" t="s">
        <v>606</v>
      </c>
      <c r="B16" s="1324" t="s">
        <v>647</v>
      </c>
      <c r="C16" s="1324"/>
      <c r="D16" s="1324"/>
      <c r="E16" s="463">
        <v>1011</v>
      </c>
      <c r="F16" s="574">
        <f>G16+H16+J16+I16</f>
        <v>12304691</v>
      </c>
      <c r="G16" s="654">
        <v>3575791</v>
      </c>
      <c r="H16" s="567">
        <v>8727900</v>
      </c>
      <c r="I16" s="567">
        <v>1000</v>
      </c>
      <c r="J16" s="827">
        <v>0</v>
      </c>
      <c r="K16" s="574">
        <f>L16+M16+O16+N16</f>
        <v>0</v>
      </c>
      <c r="L16" s="567">
        <v>0</v>
      </c>
      <c r="M16" s="567">
        <v>0</v>
      </c>
      <c r="N16" s="567">
        <v>0</v>
      </c>
      <c r="O16" s="569">
        <v>0</v>
      </c>
      <c r="P16" s="574">
        <f>Q16+R16+T16+S16</f>
        <v>0</v>
      </c>
      <c r="Q16" s="567">
        <v>0</v>
      </c>
      <c r="R16" s="567">
        <v>0</v>
      </c>
      <c r="S16" s="567">
        <v>0</v>
      </c>
      <c r="T16" s="569">
        <v>0</v>
      </c>
      <c r="U16" s="886">
        <f>V16+W16+Y16+X16</f>
        <v>12304691</v>
      </c>
      <c r="V16" s="889">
        <f>G16+L16-Q16</f>
        <v>3575791</v>
      </c>
      <c r="W16" s="890">
        <f>H16+M16-R16</f>
        <v>8727900</v>
      </c>
      <c r="X16" s="891">
        <f>I16+N16-S16</f>
        <v>1000</v>
      </c>
      <c r="Y16" s="892">
        <f t="shared" ref="Y16" si="11">J16+O16-T16</f>
        <v>0</v>
      </c>
      <c r="Z16" s="1390"/>
      <c r="AA16" s="1399"/>
      <c r="AB16" s="446"/>
      <c r="AC16" s="446"/>
      <c r="AD16" s="446"/>
      <c r="AE16" s="446"/>
      <c r="AF16" s="446"/>
      <c r="AG16" s="446"/>
      <c r="AH16" s="446"/>
      <c r="AI16" s="446"/>
      <c r="AJ16" s="446"/>
      <c r="AK16" s="446"/>
      <c r="AL16" s="446"/>
      <c r="AM16" s="446"/>
      <c r="AN16" s="446"/>
      <c r="AO16" s="446"/>
      <c r="AP16" s="446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</row>
    <row r="17" spans="1:54" s="10" customFormat="1" ht="22.35" customHeight="1" x14ac:dyDescent="0.3">
      <c r="A17" s="568" t="s">
        <v>607</v>
      </c>
      <c r="B17" s="1324" t="s">
        <v>626</v>
      </c>
      <c r="C17" s="1324"/>
      <c r="D17" s="1324"/>
      <c r="E17" s="463">
        <v>1012</v>
      </c>
      <c r="F17" s="574">
        <f>G17+H17+J17+I17</f>
        <v>6157557</v>
      </c>
      <c r="G17" s="654">
        <v>584948</v>
      </c>
      <c r="H17" s="567">
        <v>5572609</v>
      </c>
      <c r="I17" s="567">
        <v>0</v>
      </c>
      <c r="J17" s="827">
        <v>0</v>
      </c>
      <c r="K17" s="574">
        <f>L17+M17+O17+N17</f>
        <v>0</v>
      </c>
      <c r="L17" s="567">
        <v>0</v>
      </c>
      <c r="M17" s="567">
        <v>0</v>
      </c>
      <c r="N17" s="567">
        <v>0</v>
      </c>
      <c r="O17" s="569">
        <v>0</v>
      </c>
      <c r="P17" s="574">
        <f>Q17+R17+T17+S17</f>
        <v>317825</v>
      </c>
      <c r="Q17" s="567">
        <v>146232</v>
      </c>
      <c r="R17" s="567">
        <v>171593</v>
      </c>
      <c r="S17" s="567">
        <v>0</v>
      </c>
      <c r="T17" s="567">
        <v>0</v>
      </c>
      <c r="U17" s="886">
        <f>V17+W17+Y17+X17</f>
        <v>6475382</v>
      </c>
      <c r="V17" s="889">
        <f>G17+Q17-L17</f>
        <v>731180</v>
      </c>
      <c r="W17" s="890">
        <f>H17+R17-M17</f>
        <v>5744202</v>
      </c>
      <c r="X17" s="891">
        <f>I17+S17-N17</f>
        <v>0</v>
      </c>
      <c r="Y17" s="892">
        <f>J17+T17-O17</f>
        <v>0</v>
      </c>
      <c r="Z17" s="1390"/>
      <c r="AA17" s="1399"/>
      <c r="AB17" s="446"/>
      <c r="AC17" s="446"/>
      <c r="AD17" s="446"/>
      <c r="AE17" s="446"/>
      <c r="AF17" s="446"/>
      <c r="AG17" s="446"/>
      <c r="AH17" s="446"/>
      <c r="AI17" s="446"/>
      <c r="AJ17" s="446"/>
      <c r="AK17" s="446"/>
      <c r="AL17" s="446"/>
      <c r="AM17" s="446"/>
      <c r="AN17" s="446"/>
      <c r="AO17" s="446"/>
      <c r="AP17" s="446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</row>
    <row r="18" spans="1:54" s="10" customFormat="1" ht="22.35" customHeight="1" thickBot="1" x14ac:dyDescent="0.35">
      <c r="A18" s="568" t="s">
        <v>841</v>
      </c>
      <c r="B18" s="1404" t="s">
        <v>648</v>
      </c>
      <c r="C18" s="1404"/>
      <c r="D18" s="1404"/>
      <c r="E18" s="463"/>
      <c r="F18" s="802">
        <f>G18+H18+J18+I18</f>
        <v>0</v>
      </c>
      <c r="G18" s="832">
        <v>0</v>
      </c>
      <c r="H18" s="832">
        <v>0</v>
      </c>
      <c r="I18" s="567">
        <v>0</v>
      </c>
      <c r="J18" s="827">
        <v>0</v>
      </c>
      <c r="K18" s="574">
        <f>L18+M18+O18+N18</f>
        <v>0</v>
      </c>
      <c r="L18" s="567">
        <v>0</v>
      </c>
      <c r="M18" s="567">
        <v>0</v>
      </c>
      <c r="N18" s="567">
        <v>0</v>
      </c>
      <c r="O18" s="569">
        <v>0</v>
      </c>
      <c r="P18" s="574">
        <f>Q18+R18+T18+S18</f>
        <v>0</v>
      </c>
      <c r="Q18" s="567">
        <v>0</v>
      </c>
      <c r="R18" s="567">
        <v>0</v>
      </c>
      <c r="S18" s="567">
        <v>0</v>
      </c>
      <c r="T18" s="569">
        <v>0</v>
      </c>
      <c r="U18" s="893">
        <f>V18+W18+Y18+X18</f>
        <v>0</v>
      </c>
      <c r="V18" s="894">
        <f>G18+L18-Q18</f>
        <v>0</v>
      </c>
      <c r="W18" s="894">
        <f>H18+M18-R18</f>
        <v>0</v>
      </c>
      <c r="X18" s="891">
        <f>I18+N18-S18</f>
        <v>0</v>
      </c>
      <c r="Y18" s="892">
        <f t="shared" ref="Y18" si="12">J18+O18-T18</f>
        <v>0</v>
      </c>
      <c r="Z18" s="1391"/>
      <c r="AA18" s="1401"/>
      <c r="AB18" s="446"/>
      <c r="AC18" s="446"/>
      <c r="AD18" s="446"/>
      <c r="AE18" s="446"/>
      <c r="AF18" s="446"/>
      <c r="AG18" s="446"/>
      <c r="AH18" s="446"/>
      <c r="AI18" s="446"/>
      <c r="AJ18" s="446"/>
      <c r="AK18" s="446"/>
      <c r="AL18" s="446"/>
      <c r="AM18" s="446"/>
      <c r="AN18" s="446"/>
      <c r="AO18" s="446"/>
      <c r="AP18" s="446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</row>
    <row r="19" spans="1:54" s="10" customFormat="1" ht="22.35" customHeight="1" thickBot="1" x14ac:dyDescent="0.35">
      <c r="A19" s="570" t="s">
        <v>608</v>
      </c>
      <c r="B19" s="1406" t="s">
        <v>49</v>
      </c>
      <c r="C19" s="1406"/>
      <c r="D19" s="1406"/>
      <c r="E19" s="819">
        <v>1100</v>
      </c>
      <c r="F19" s="575">
        <f>H19+J19+I19</f>
        <v>257668.32</v>
      </c>
      <c r="G19" s="512" t="s">
        <v>341</v>
      </c>
      <c r="H19" s="571">
        <f>3329.36+59218+3120+129465.91+2341.5+22037-44267</f>
        <v>175244.77000000002</v>
      </c>
      <c r="I19" s="571">
        <v>0</v>
      </c>
      <c r="J19" s="828">
        <f>38156.55+44267</f>
        <v>82423.55</v>
      </c>
      <c r="K19" s="575">
        <f>M19+O19+N19</f>
        <v>316018.96000000002</v>
      </c>
      <c r="L19" s="512" t="s">
        <v>341</v>
      </c>
      <c r="M19" s="571">
        <f>'Звіт 1,2,3'!N28+'Звіт 1,2,3'!K28+'Звіт 1,2,3'!J28</f>
        <v>256898.52000000002</v>
      </c>
      <c r="N19" s="571">
        <v>0</v>
      </c>
      <c r="O19" s="572">
        <f>'Звіт 1,2,3'!H28</f>
        <v>59120.44</v>
      </c>
      <c r="P19" s="575">
        <f>R19+T19+S19</f>
        <v>249807.5</v>
      </c>
      <c r="Q19" s="512" t="s">
        <v>341</v>
      </c>
      <c r="R19" s="571">
        <f>104871.87+1503.6+16238.64+18900</f>
        <v>141514.10999999999</v>
      </c>
      <c r="S19" s="571">
        <v>0</v>
      </c>
      <c r="T19" s="572">
        <f>89393.39+18900</f>
        <v>108293.39</v>
      </c>
      <c r="U19" s="895">
        <f>W19+Y19+X19</f>
        <v>323879.78000000003</v>
      </c>
      <c r="V19" s="896" t="s">
        <v>341</v>
      </c>
      <c r="W19" s="897">
        <f>H19+M19-R19</f>
        <v>290629.18000000005</v>
      </c>
      <c r="X19" s="898">
        <f>I19+N19-S19</f>
        <v>0</v>
      </c>
      <c r="Y19" s="899">
        <f t="shared" ref="Y19" si="13">J19+O19-T19</f>
        <v>33250.599999999991</v>
      </c>
      <c r="Z19" s="813" t="b">
        <f>IF('Звіт   4,5,6'!E36=0,"Дані не введено",IF(K19='Звіт 1,2,3'!G28,TRUE,FALSE))</f>
        <v>1</v>
      </c>
      <c r="AA19" s="693" t="b">
        <f>IF('Звіт   4,5,6'!E36=0,"Дані не введено",IF(M19=('Звіт 1,2,3'!I28+'Звіт 1,2,3'!J28+'Звіт 1,2,3'!K28+'Звіт 1,2,3'!L28+'Звіт 1,2,3'!M28+'Звіт 1,2,3'!N28),TRUE,FALSE))</f>
        <v>1</v>
      </c>
      <c r="AB19" s="446"/>
      <c r="AC19" s="446"/>
      <c r="AD19" s="446"/>
      <c r="AE19" s="446"/>
      <c r="AF19" s="446"/>
      <c r="AG19" s="446"/>
      <c r="AH19" s="446"/>
      <c r="AI19" s="446"/>
      <c r="AJ19" s="446"/>
      <c r="AK19" s="446"/>
      <c r="AL19" s="446"/>
      <c r="AM19" s="446"/>
      <c r="AN19" s="446"/>
      <c r="AO19" s="446"/>
      <c r="AP19" s="446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</row>
    <row r="20" spans="1:54" s="36" customFormat="1" ht="33" customHeight="1" x14ac:dyDescent="0.3">
      <c r="A20" s="577" t="s">
        <v>663</v>
      </c>
      <c r="B20" s="461"/>
      <c r="C20" s="461"/>
      <c r="D20" s="461"/>
      <c r="E20" s="459"/>
      <c r="F20" s="458"/>
      <c r="G20" s="458"/>
      <c r="H20" s="458"/>
      <c r="I20" s="458"/>
      <c r="J20" s="458"/>
      <c r="K20" s="458"/>
      <c r="L20" s="458"/>
      <c r="M20" s="458"/>
      <c r="N20" s="458"/>
      <c r="O20" s="458"/>
      <c r="P20" s="458"/>
      <c r="Q20" s="458"/>
      <c r="R20" s="458"/>
      <c r="S20" s="458"/>
      <c r="T20" s="458"/>
      <c r="U20" s="458"/>
      <c r="V20" s="458"/>
      <c r="W20" s="458"/>
      <c r="X20" s="458"/>
      <c r="Y20" s="458"/>
      <c r="Z20" s="448"/>
      <c r="AA20" s="448"/>
      <c r="AB20" s="448"/>
      <c r="AC20" s="448"/>
      <c r="AD20" s="448"/>
      <c r="AE20" s="448"/>
      <c r="AF20" s="448"/>
      <c r="AG20" s="448"/>
      <c r="AH20" s="448"/>
      <c r="AI20" s="448"/>
      <c r="AJ20" s="448"/>
      <c r="AK20" s="448"/>
      <c r="AL20" s="448"/>
      <c r="AM20" s="448"/>
      <c r="AN20" s="448"/>
      <c r="AO20" s="448"/>
      <c r="AP20" s="448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</row>
    <row r="21" spans="1:54" s="36" customFormat="1" ht="19.350000000000001" customHeight="1" thickBot="1" x14ac:dyDescent="0.35">
      <c r="A21" s="833"/>
      <c r="B21" s="461"/>
      <c r="C21" s="461"/>
      <c r="D21" s="461"/>
      <c r="E21" s="459"/>
      <c r="F21" s="458"/>
      <c r="G21" s="458"/>
      <c r="H21" s="458"/>
      <c r="I21" s="458"/>
      <c r="J21" s="458"/>
      <c r="K21" s="458"/>
      <c r="L21" s="458"/>
      <c r="M21" s="458"/>
      <c r="N21" s="458"/>
      <c r="O21" s="458"/>
      <c r="P21" s="458"/>
      <c r="Q21" s="458"/>
      <c r="R21" s="458"/>
      <c r="S21" s="458"/>
      <c r="T21" s="458"/>
      <c r="U21" s="458"/>
      <c r="V21" s="458"/>
      <c r="W21" s="458"/>
      <c r="X21" s="458"/>
      <c r="Y21" s="458"/>
      <c r="Z21" s="448"/>
      <c r="AA21" s="448"/>
      <c r="AB21" s="448"/>
      <c r="AC21" s="448"/>
      <c r="AD21" s="448"/>
      <c r="AE21" s="448"/>
      <c r="AF21" s="448"/>
      <c r="AG21" s="448"/>
      <c r="AH21" s="448"/>
      <c r="AI21" s="448"/>
      <c r="AJ21" s="448"/>
      <c r="AK21" s="448"/>
      <c r="AL21" s="448"/>
      <c r="AM21" s="448"/>
      <c r="AN21" s="448"/>
      <c r="AO21" s="448"/>
      <c r="AP21" s="448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</row>
    <row r="22" spans="1:54" s="29" customFormat="1" ht="90" customHeight="1" thickBot="1" x14ac:dyDescent="0.3">
      <c r="A22" s="823" t="s">
        <v>698</v>
      </c>
      <c r="B22" s="125"/>
      <c r="C22" s="125"/>
      <c r="D22" s="125"/>
      <c r="E22" s="125"/>
      <c r="F22" s="125"/>
      <c r="G22" s="125"/>
      <c r="H22" s="125"/>
      <c r="I22" s="125"/>
      <c r="J22" s="1370" t="s">
        <v>845</v>
      </c>
      <c r="K22" s="1371"/>
      <c r="L22" s="1371"/>
      <c r="M22" s="1372"/>
      <c r="O22" s="580" t="s">
        <v>679</v>
      </c>
      <c r="P22" s="580"/>
      <c r="Q22" s="580"/>
      <c r="R22" s="580"/>
      <c r="S22" s="580"/>
      <c r="T22" s="580"/>
      <c r="U22" s="580"/>
      <c r="V22" s="580"/>
      <c r="W22" s="580"/>
      <c r="X22" s="445"/>
      <c r="Y22" s="445"/>
      <c r="Z22" s="447"/>
      <c r="AA22" s="448"/>
      <c r="AB22" s="444"/>
      <c r="AC22" s="444"/>
      <c r="AD22" s="444"/>
      <c r="AE22" s="444"/>
      <c r="AF22" s="444"/>
      <c r="AG22" s="444"/>
      <c r="AH22" s="444"/>
      <c r="AI22" s="444"/>
      <c r="AJ22" s="444"/>
      <c r="AK22" s="444"/>
      <c r="AL22" s="444"/>
      <c r="AM22" s="444"/>
      <c r="AN22" s="444"/>
      <c r="AO22" s="444"/>
      <c r="AP22" s="444"/>
      <c r="AQ22" s="444"/>
      <c r="AR22" s="444"/>
      <c r="AS22" s="444"/>
      <c r="AT22" s="444"/>
      <c r="AU22" s="444"/>
      <c r="AV22" s="444"/>
      <c r="AW22" s="444"/>
      <c r="AX22" s="444"/>
      <c r="AY22" s="444"/>
      <c r="AZ22" s="444"/>
      <c r="BA22" s="444"/>
      <c r="BB22" s="444"/>
    </row>
    <row r="23" spans="1:54" s="10" customFormat="1" ht="49.7" customHeight="1" x14ac:dyDescent="0.25">
      <c r="A23" s="634" t="s">
        <v>40</v>
      </c>
      <c r="B23" s="1395" t="s">
        <v>643</v>
      </c>
      <c r="C23" s="1395"/>
      <c r="D23" s="1395"/>
      <c r="E23" s="625" t="str">
        <f>E7</f>
        <v xml:space="preserve">Код рядка балансу </v>
      </c>
      <c r="F23" s="627" t="s">
        <v>819</v>
      </c>
      <c r="G23" s="625" t="s">
        <v>661</v>
      </c>
      <c r="H23" s="625" t="s">
        <v>662</v>
      </c>
      <c r="I23" s="631" t="s">
        <v>805</v>
      </c>
      <c r="J23" s="809" t="s">
        <v>839</v>
      </c>
      <c r="K23" s="829" t="s">
        <v>844</v>
      </c>
      <c r="L23" s="803" t="s">
        <v>840</v>
      </c>
      <c r="M23" s="831" t="s">
        <v>844</v>
      </c>
      <c r="O23" s="799" t="s">
        <v>40</v>
      </c>
      <c r="P23" s="1374" t="s">
        <v>7</v>
      </c>
      <c r="Q23" s="1375"/>
      <c r="R23" s="1375"/>
      <c r="S23" s="1375"/>
      <c r="T23" s="1375"/>
      <c r="U23" s="1375"/>
      <c r="V23" s="1376"/>
      <c r="W23" s="59" t="s">
        <v>8</v>
      </c>
      <c r="X23" s="445"/>
      <c r="Y23" s="447"/>
      <c r="Z23" s="448"/>
      <c r="AA23" s="444"/>
      <c r="AB23" s="444"/>
      <c r="AC23" s="444"/>
      <c r="AD23" s="444"/>
      <c r="AE23" s="127"/>
      <c r="AF23" s="127"/>
      <c r="AG23" s="127"/>
      <c r="AH23" s="127"/>
      <c r="AI23" s="127"/>
      <c r="AJ23" s="127"/>
      <c r="AK23" s="127"/>
      <c r="AL23" s="127"/>
      <c r="AM23" s="127"/>
    </row>
    <row r="24" spans="1:54" s="10" customFormat="1" ht="25.35" customHeight="1" x14ac:dyDescent="0.3">
      <c r="A24" s="467">
        <v>1</v>
      </c>
      <c r="B24" s="1408">
        <f>B9</f>
        <v>2</v>
      </c>
      <c r="C24" s="1408"/>
      <c r="D24" s="1408"/>
      <c r="E24" s="611">
        <f>E9</f>
        <v>3</v>
      </c>
      <c r="F24" s="611">
        <f>F9</f>
        <v>4</v>
      </c>
      <c r="G24" s="611">
        <f t="shared" ref="G24:M24" si="14">G9</f>
        <v>5</v>
      </c>
      <c r="H24" s="611">
        <f>H9</f>
        <v>6</v>
      </c>
      <c r="I24" s="612">
        <f t="shared" si="14"/>
        <v>7</v>
      </c>
      <c r="J24" s="467">
        <f t="shared" si="14"/>
        <v>8</v>
      </c>
      <c r="K24" s="611">
        <f t="shared" si="14"/>
        <v>9</v>
      </c>
      <c r="L24" s="611">
        <f t="shared" si="14"/>
        <v>10</v>
      </c>
      <c r="M24" s="468">
        <f t="shared" si="14"/>
        <v>11</v>
      </c>
      <c r="O24" s="630">
        <v>1</v>
      </c>
      <c r="P24" s="1373">
        <v>2</v>
      </c>
      <c r="Q24" s="1373"/>
      <c r="R24" s="1373"/>
      <c r="S24" s="1373"/>
      <c r="T24" s="1373"/>
      <c r="U24" s="1373"/>
      <c r="V24" s="1373"/>
      <c r="W24" s="630">
        <v>3</v>
      </c>
      <c r="X24" s="450"/>
      <c r="Y24" s="130"/>
      <c r="Z24" s="130"/>
      <c r="AA24" s="130"/>
      <c r="AB24" s="130"/>
      <c r="AC24" s="330"/>
      <c r="AD24" s="130"/>
      <c r="AE24" s="127"/>
      <c r="AF24" s="127"/>
      <c r="AG24" s="127"/>
      <c r="AH24" s="127"/>
      <c r="AI24" s="127"/>
      <c r="AJ24" s="127"/>
      <c r="AK24" s="127"/>
      <c r="AL24" s="127"/>
      <c r="AM24" s="127"/>
    </row>
    <row r="25" spans="1:54" s="10" customFormat="1" ht="42" customHeight="1" x14ac:dyDescent="0.3">
      <c r="A25" s="632" t="s">
        <v>612</v>
      </c>
      <c r="B25" s="1409" t="s">
        <v>627</v>
      </c>
      <c r="C25" s="1409"/>
      <c r="D25" s="1409"/>
      <c r="E25" s="585">
        <v>1405</v>
      </c>
      <c r="F25" s="804">
        <v>0</v>
      </c>
      <c r="G25" s="805">
        <v>0</v>
      </c>
      <c r="H25" s="805">
        <v>0</v>
      </c>
      <c r="I25" s="948">
        <f>F25-G25+H25</f>
        <v>0</v>
      </c>
      <c r="J25" s="904">
        <f>F13+F18</f>
        <v>0</v>
      </c>
      <c r="K25" s="946">
        <f>F25-J25</f>
        <v>0</v>
      </c>
      <c r="L25" s="905">
        <f>U13+U18</f>
        <v>0</v>
      </c>
      <c r="M25" s="947">
        <f>I25-L25</f>
        <v>0</v>
      </c>
      <c r="O25" s="800" t="s">
        <v>651</v>
      </c>
      <c r="P25" s="1367" t="s">
        <v>549</v>
      </c>
      <c r="Q25" s="1368"/>
      <c r="R25" s="1368"/>
      <c r="S25" s="1368"/>
      <c r="T25" s="1368"/>
      <c r="U25" s="1368"/>
      <c r="V25" s="1369"/>
      <c r="W25" s="801">
        <v>0</v>
      </c>
      <c r="X25" s="454"/>
      <c r="Y25" s="454"/>
      <c r="Z25" s="454"/>
      <c r="AA25" s="454"/>
      <c r="AB25" s="454"/>
      <c r="AC25" s="454"/>
      <c r="AD25" s="455"/>
      <c r="AE25" s="127"/>
      <c r="AF25" s="127"/>
      <c r="AG25" s="127"/>
      <c r="AH25" s="127"/>
      <c r="AI25" s="127"/>
      <c r="AJ25" s="127"/>
      <c r="AK25" s="127"/>
      <c r="AL25" s="127"/>
      <c r="AM25" s="127"/>
    </row>
    <row r="26" spans="1:54" s="10" customFormat="1" ht="42" customHeight="1" x14ac:dyDescent="0.3">
      <c r="A26" s="632" t="s">
        <v>613</v>
      </c>
      <c r="B26" s="1409" t="s">
        <v>129</v>
      </c>
      <c r="C26" s="1409"/>
      <c r="D26" s="1409"/>
      <c r="E26" s="40">
        <v>1410</v>
      </c>
      <c r="F26" s="806">
        <v>2990843</v>
      </c>
      <c r="G26" s="805">
        <v>146232</v>
      </c>
      <c r="H26" s="805">
        <v>0</v>
      </c>
      <c r="I26" s="948">
        <f t="shared" ref="I26:I27" si="15">F26-G26+H26</f>
        <v>2844611</v>
      </c>
      <c r="J26" s="906">
        <f>G11-G12+G16-G17</f>
        <v>2990843</v>
      </c>
      <c r="K26" s="946">
        <f>F26-J26</f>
        <v>0</v>
      </c>
      <c r="L26" s="889">
        <f>V11-V12+V16-V17</f>
        <v>2844611</v>
      </c>
      <c r="M26" s="947">
        <f>I26-L26</f>
        <v>0</v>
      </c>
      <c r="O26" s="800" t="s">
        <v>652</v>
      </c>
      <c r="P26" s="1367" t="s">
        <v>562</v>
      </c>
      <c r="Q26" s="1368"/>
      <c r="R26" s="1368"/>
      <c r="S26" s="1368"/>
      <c r="T26" s="1368"/>
      <c r="U26" s="1368"/>
      <c r="V26" s="1369"/>
      <c r="W26" s="801">
        <v>0</v>
      </c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</row>
    <row r="27" spans="1:54" s="10" customFormat="1" ht="42" customHeight="1" x14ac:dyDescent="0.3">
      <c r="A27" s="632" t="s">
        <v>614</v>
      </c>
      <c r="B27" s="1405" t="s">
        <v>55</v>
      </c>
      <c r="C27" s="1405"/>
      <c r="D27" s="1405"/>
      <c r="E27" s="40">
        <v>1665</v>
      </c>
      <c r="F27" s="832">
        <v>3155291</v>
      </c>
      <c r="G27" s="805">
        <v>171593</v>
      </c>
      <c r="H27" s="805">
        <v>0</v>
      </c>
      <c r="I27" s="948">
        <f t="shared" si="15"/>
        <v>2983698</v>
      </c>
      <c r="J27" s="907"/>
      <c r="K27" s="946"/>
      <c r="L27" s="908"/>
      <c r="M27" s="947"/>
      <c r="O27" s="800" t="s">
        <v>653</v>
      </c>
      <c r="P27" s="1367" t="s">
        <v>563</v>
      </c>
      <c r="Q27" s="1368"/>
      <c r="R27" s="1368"/>
      <c r="S27" s="1368"/>
      <c r="T27" s="1368"/>
      <c r="U27" s="1368"/>
      <c r="V27" s="1369"/>
      <c r="W27" s="801">
        <v>0</v>
      </c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</row>
    <row r="28" spans="1:54" s="10" customFormat="1" ht="58.7" customHeight="1" thickBot="1" x14ac:dyDescent="0.35">
      <c r="A28" s="633" t="s">
        <v>617</v>
      </c>
      <c r="B28" s="1397" t="s">
        <v>655</v>
      </c>
      <c r="C28" s="1397"/>
      <c r="D28" s="1397"/>
      <c r="E28" s="596"/>
      <c r="F28" s="830">
        <v>3155291</v>
      </c>
      <c r="G28" s="807">
        <v>171593</v>
      </c>
      <c r="H28" s="808">
        <v>0</v>
      </c>
      <c r="I28" s="949">
        <f>F28-G28+H28</f>
        <v>2983698</v>
      </c>
      <c r="J28" s="909">
        <f>H11-H12+H16-H17</f>
        <v>3155291</v>
      </c>
      <c r="K28" s="946">
        <f>F28-J28</f>
        <v>0</v>
      </c>
      <c r="L28" s="910">
        <f>W11-W12+W16-W17</f>
        <v>2983698</v>
      </c>
      <c r="M28" s="947">
        <f>I28-L28</f>
        <v>0</v>
      </c>
      <c r="O28" s="800" t="s">
        <v>654</v>
      </c>
      <c r="P28" s="1367" t="s">
        <v>700</v>
      </c>
      <c r="Q28" s="1368"/>
      <c r="R28" s="1368"/>
      <c r="S28" s="1368"/>
      <c r="T28" s="1368"/>
      <c r="U28" s="1368"/>
      <c r="V28" s="1369"/>
      <c r="W28" s="801">
        <v>0</v>
      </c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</row>
    <row r="29" spans="1:54" s="10" customFormat="1" ht="28.35" customHeight="1" x14ac:dyDescent="0.3">
      <c r="A29" s="584" t="s">
        <v>663</v>
      </c>
      <c r="B29" s="584"/>
      <c r="C29" s="584"/>
      <c r="D29" s="584"/>
      <c r="E29" s="584"/>
      <c r="F29" s="584"/>
      <c r="O29" s="798" t="s">
        <v>564</v>
      </c>
      <c r="P29" s="798"/>
      <c r="Q29" s="798"/>
      <c r="R29" s="798"/>
      <c r="S29" s="798"/>
      <c r="T29" s="798"/>
      <c r="U29" s="798"/>
      <c r="V29" s="798"/>
      <c r="W29" s="798"/>
      <c r="X29" s="330"/>
      <c r="Y29" s="130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</row>
    <row r="30" spans="1:54" s="10" customFormat="1" ht="33" customHeight="1" thickBot="1" x14ac:dyDescent="0.3">
      <c r="A30" s="434" t="s">
        <v>730</v>
      </c>
      <c r="B30" s="580"/>
      <c r="C30" s="16"/>
      <c r="D30" s="16"/>
      <c r="E30" s="581"/>
      <c r="F30" s="581"/>
      <c r="G30" s="581"/>
      <c r="H30" s="581"/>
      <c r="I30" s="581"/>
      <c r="J30" s="581"/>
      <c r="L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</row>
    <row r="31" spans="1:54" s="10" customFormat="1" ht="34.700000000000003" customHeight="1" thickBot="1" x14ac:dyDescent="0.35">
      <c r="A31" s="582" t="s">
        <v>731</v>
      </c>
      <c r="B31" s="1426" t="s">
        <v>699</v>
      </c>
      <c r="C31" s="1427"/>
      <c r="D31" s="1427"/>
      <c r="E31" s="1427"/>
      <c r="F31" s="1427"/>
      <c r="G31" s="1427"/>
      <c r="H31" s="1427"/>
      <c r="I31" s="1428"/>
      <c r="J31" s="583">
        <v>0</v>
      </c>
      <c r="L31" s="127"/>
      <c r="R31" s="460"/>
      <c r="S31" s="460"/>
      <c r="T31" s="460"/>
      <c r="U31" s="810"/>
      <c r="V31" s="810"/>
      <c r="W31" s="810"/>
      <c r="X31" s="810"/>
      <c r="Y31" s="810"/>
      <c r="Z31" s="810"/>
      <c r="AA31" s="810"/>
      <c r="AB31" s="810"/>
      <c r="AC31" s="810"/>
      <c r="AD31" s="810"/>
      <c r="AE31" s="810"/>
      <c r="AF31" s="810"/>
      <c r="AG31" s="127"/>
      <c r="AH31" s="127"/>
      <c r="AI31" s="127"/>
      <c r="AJ31" s="127"/>
      <c r="AK31" s="127"/>
      <c r="AL31" s="127"/>
      <c r="AM31" s="127"/>
    </row>
    <row r="32" spans="1:54" s="133" customFormat="1" ht="16.7" customHeight="1" x14ac:dyDescent="0.3">
      <c r="B32" s="451"/>
      <c r="C32" s="451"/>
      <c r="D32" s="451"/>
      <c r="E32" s="450"/>
      <c r="F32" s="130"/>
      <c r="G32" s="130"/>
      <c r="H32" s="130"/>
      <c r="I32" s="130"/>
      <c r="J32" s="130"/>
      <c r="K32" s="130"/>
      <c r="L32" s="330"/>
      <c r="M32" s="130"/>
      <c r="N32" s="130"/>
      <c r="O32" s="130"/>
      <c r="P32" s="131"/>
      <c r="Q32" s="131"/>
      <c r="R32" s="130"/>
      <c r="S32" s="130"/>
      <c r="T32" s="135"/>
      <c r="U32" s="810"/>
      <c r="V32" s="811"/>
      <c r="W32" s="811"/>
      <c r="X32" s="811"/>
      <c r="Y32" s="811"/>
      <c r="Z32" s="810"/>
      <c r="AA32" s="810"/>
      <c r="AB32" s="810"/>
      <c r="AC32" s="810"/>
      <c r="AD32" s="810"/>
      <c r="AE32" s="810"/>
      <c r="AF32" s="810"/>
    </row>
    <row r="33" spans="1:32" s="133" customFormat="1" ht="31.7" customHeight="1" thickBot="1" x14ac:dyDescent="0.35">
      <c r="A33" s="1429" t="s">
        <v>732</v>
      </c>
      <c r="B33" s="1429"/>
      <c r="C33" s="442"/>
      <c r="D33" s="442"/>
      <c r="E33" s="576"/>
      <c r="F33" s="579"/>
      <c r="G33" s="443"/>
      <c r="H33" s="443"/>
      <c r="I33" s="443"/>
      <c r="J33" s="443"/>
      <c r="K33" s="443"/>
      <c r="L33" s="443"/>
      <c r="M33" s="453"/>
      <c r="N33" s="1410" t="s">
        <v>305</v>
      </c>
      <c r="O33" s="1410"/>
      <c r="P33" s="443"/>
      <c r="Q33" s="453"/>
      <c r="R33" s="130"/>
      <c r="S33" s="130"/>
      <c r="T33" s="135"/>
      <c r="U33" s="810"/>
      <c r="V33" s="811"/>
      <c r="W33" s="811"/>
      <c r="X33" s="811"/>
      <c r="Y33" s="811"/>
      <c r="Z33" s="810"/>
      <c r="AA33" s="810"/>
      <c r="AB33" s="810"/>
      <c r="AC33" s="810"/>
      <c r="AD33" s="810"/>
      <c r="AE33" s="810"/>
      <c r="AF33" s="810"/>
    </row>
    <row r="34" spans="1:32" s="133" customFormat="1" ht="31.7" customHeight="1" x14ac:dyDescent="0.3">
      <c r="A34" s="1402" t="s">
        <v>40</v>
      </c>
      <c r="B34" s="1395" t="s">
        <v>643</v>
      </c>
      <c r="C34" s="1395"/>
      <c r="D34" s="1395"/>
      <c r="E34" s="1419" t="s">
        <v>668</v>
      </c>
      <c r="F34" s="1419" t="s">
        <v>667</v>
      </c>
      <c r="G34" s="1421" t="s">
        <v>675</v>
      </c>
      <c r="H34" s="1421"/>
      <c r="I34" s="1422"/>
      <c r="J34" s="1413" t="s">
        <v>764</v>
      </c>
      <c r="K34" s="1414"/>
      <c r="L34" s="1415" t="s">
        <v>669</v>
      </c>
      <c r="M34" s="682" t="s">
        <v>676</v>
      </c>
      <c r="N34" s="684" t="s">
        <v>765</v>
      </c>
      <c r="O34" s="1417" t="s">
        <v>670</v>
      </c>
      <c r="P34" s="443"/>
      <c r="Q34" s="453"/>
      <c r="R34" s="130"/>
      <c r="S34" s="130"/>
      <c r="T34" s="135"/>
      <c r="U34" s="810"/>
      <c r="V34" s="811"/>
      <c r="W34" s="811"/>
      <c r="X34" s="811"/>
      <c r="Y34" s="811"/>
      <c r="Z34" s="810"/>
      <c r="AA34" s="810"/>
      <c r="AB34" s="810"/>
      <c r="AC34" s="810"/>
      <c r="AD34" s="810"/>
      <c r="AE34" s="810"/>
      <c r="AF34" s="810"/>
    </row>
    <row r="35" spans="1:32" s="133" customFormat="1" ht="85.7" customHeight="1" x14ac:dyDescent="0.3">
      <c r="A35" s="1430"/>
      <c r="B35" s="1411"/>
      <c r="C35" s="1411"/>
      <c r="D35" s="1411"/>
      <c r="E35" s="1420"/>
      <c r="F35" s="1420"/>
      <c r="G35" s="589" t="s">
        <v>835</v>
      </c>
      <c r="H35" s="589" t="s">
        <v>665</v>
      </c>
      <c r="I35" s="592" t="s">
        <v>666</v>
      </c>
      <c r="J35" s="680" t="s">
        <v>672</v>
      </c>
      <c r="K35" s="681" t="s">
        <v>671</v>
      </c>
      <c r="L35" s="1416"/>
      <c r="M35" s="592" t="s">
        <v>701</v>
      </c>
      <c r="N35" s="685" t="s">
        <v>673</v>
      </c>
      <c r="O35" s="1418"/>
      <c r="R35" s="456"/>
      <c r="S35" s="456"/>
      <c r="T35" s="135"/>
      <c r="U35" s="810"/>
      <c r="V35" s="407"/>
      <c r="W35" s="811"/>
      <c r="X35" s="811"/>
      <c r="Y35" s="811"/>
      <c r="Z35" s="810"/>
      <c r="AA35" s="810"/>
      <c r="AB35" s="810"/>
      <c r="AC35" s="810"/>
      <c r="AD35" s="810"/>
      <c r="AE35" s="810"/>
      <c r="AF35" s="810"/>
    </row>
    <row r="36" spans="1:32" s="133" customFormat="1" ht="25.7" customHeight="1" x14ac:dyDescent="0.3">
      <c r="A36" s="587">
        <v>1</v>
      </c>
      <c r="B36" s="1411">
        <v>2</v>
      </c>
      <c r="C36" s="1411"/>
      <c r="D36" s="1411"/>
      <c r="E36" s="589">
        <v>3</v>
      </c>
      <c r="F36" s="589">
        <v>4</v>
      </c>
      <c r="G36" s="589">
        <v>5</v>
      </c>
      <c r="H36" s="589">
        <v>6</v>
      </c>
      <c r="I36" s="592">
        <v>7</v>
      </c>
      <c r="J36" s="587">
        <v>8</v>
      </c>
      <c r="K36" s="573">
        <v>9</v>
      </c>
      <c r="L36" s="593">
        <v>10</v>
      </c>
      <c r="M36" s="592">
        <v>11</v>
      </c>
      <c r="N36" s="686">
        <v>12</v>
      </c>
      <c r="O36" s="683">
        <v>13</v>
      </c>
      <c r="R36" s="435"/>
      <c r="S36" s="435"/>
      <c r="T36" s="172"/>
      <c r="U36" s="810"/>
      <c r="V36" s="810"/>
      <c r="W36" s="810"/>
      <c r="X36" s="810"/>
      <c r="Y36" s="810"/>
      <c r="Z36" s="810"/>
      <c r="AA36" s="810"/>
      <c r="AB36" s="810"/>
      <c r="AC36" s="810"/>
      <c r="AD36" s="810"/>
      <c r="AE36" s="810"/>
      <c r="AF36" s="810"/>
    </row>
    <row r="37" spans="1:32" s="130" customFormat="1" ht="33.6" customHeight="1" x14ac:dyDescent="0.3">
      <c r="A37" s="1423" t="s">
        <v>756</v>
      </c>
      <c r="B37" s="1409" t="s">
        <v>128</v>
      </c>
      <c r="C37" s="1409"/>
      <c r="D37" s="1409"/>
      <c r="E37" s="911">
        <f>F25</f>
        <v>0</v>
      </c>
      <c r="F37" s="911">
        <f>G25</f>
        <v>0</v>
      </c>
      <c r="G37" s="911">
        <f>J31</f>
        <v>0</v>
      </c>
      <c r="H37" s="911">
        <f>W28</f>
        <v>0</v>
      </c>
      <c r="I37" s="912" t="s">
        <v>341</v>
      </c>
      <c r="J37" s="913">
        <f>F37-(G37+H37)</f>
        <v>0</v>
      </c>
      <c r="K37" s="914" t="s">
        <v>615</v>
      </c>
      <c r="L37" s="915">
        <f>H25</f>
        <v>0</v>
      </c>
      <c r="M37" s="912">
        <f>K13+K18</f>
        <v>0</v>
      </c>
      <c r="N37" s="916">
        <f>L37-M37</f>
        <v>0</v>
      </c>
      <c r="O37" s="917">
        <f>I25</f>
        <v>0</v>
      </c>
      <c r="R37" s="446"/>
      <c r="S37" s="446"/>
      <c r="T37" s="172"/>
      <c r="U37" s="810"/>
      <c r="V37" s="811"/>
      <c r="W37" s="811"/>
      <c r="X37" s="811"/>
      <c r="Y37" s="811"/>
      <c r="Z37" s="810"/>
      <c r="AA37" s="810"/>
      <c r="AB37" s="810"/>
      <c r="AC37" s="810"/>
      <c r="AD37" s="810"/>
      <c r="AE37" s="810"/>
      <c r="AF37" s="810"/>
    </row>
    <row r="38" spans="1:32" s="130" customFormat="1" ht="62.45" customHeight="1" x14ac:dyDescent="0.3">
      <c r="A38" s="1423"/>
      <c r="B38" s="1409"/>
      <c r="C38" s="1409"/>
      <c r="D38" s="1409"/>
      <c r="E38" s="918"/>
      <c r="F38" s="918"/>
      <c r="G38" s="919" t="s">
        <v>657</v>
      </c>
      <c r="H38" s="919" t="s">
        <v>656</v>
      </c>
      <c r="I38" s="920"/>
      <c r="J38" s="921"/>
      <c r="K38" s="922"/>
      <c r="L38" s="923"/>
      <c r="M38" s="924" t="s">
        <v>709</v>
      </c>
      <c r="N38" s="925"/>
      <c r="O38" s="926"/>
      <c r="R38" s="446"/>
      <c r="S38" s="446"/>
      <c r="T38" s="172"/>
      <c r="U38" s="810"/>
      <c r="V38" s="811"/>
      <c r="W38" s="811"/>
      <c r="X38" s="811"/>
      <c r="Y38" s="811"/>
      <c r="Z38" s="810"/>
      <c r="AA38" s="810"/>
      <c r="AB38" s="810"/>
      <c r="AC38" s="810"/>
      <c r="AD38" s="810"/>
      <c r="AE38" s="810"/>
      <c r="AF38" s="810"/>
    </row>
    <row r="39" spans="1:32" s="130" customFormat="1" ht="33.6" customHeight="1" x14ac:dyDescent="0.3">
      <c r="A39" s="1423" t="s">
        <v>757</v>
      </c>
      <c r="B39" s="1409" t="s">
        <v>129</v>
      </c>
      <c r="C39" s="1409"/>
      <c r="D39" s="1409"/>
      <c r="E39" s="911">
        <f>F26</f>
        <v>2990843</v>
      </c>
      <c r="F39" s="911">
        <f>G26</f>
        <v>146232</v>
      </c>
      <c r="G39" s="911">
        <f>'Звіт   4,5,6'!H21</f>
        <v>146232</v>
      </c>
      <c r="H39" s="911">
        <f>W27</f>
        <v>0</v>
      </c>
      <c r="I39" s="912">
        <f>Q12+Q17</f>
        <v>146232</v>
      </c>
      <c r="J39" s="913">
        <f>F39-(G39+H39)</f>
        <v>0</v>
      </c>
      <c r="K39" s="927">
        <f>G39-I39</f>
        <v>0</v>
      </c>
      <c r="L39" s="915">
        <f>H26</f>
        <v>0</v>
      </c>
      <c r="M39" s="912">
        <f>L11+L16</f>
        <v>0</v>
      </c>
      <c r="N39" s="916">
        <f>L39-M39</f>
        <v>0</v>
      </c>
      <c r="O39" s="917">
        <f>I26</f>
        <v>2844611</v>
      </c>
      <c r="R39" s="457"/>
      <c r="S39" s="457"/>
      <c r="T39" s="172"/>
      <c r="U39" s="810"/>
      <c r="V39" s="811"/>
      <c r="W39" s="811"/>
      <c r="X39" s="811"/>
      <c r="Y39" s="811"/>
      <c r="Z39" s="810"/>
      <c r="AA39" s="810"/>
      <c r="AB39" s="810"/>
      <c r="AC39" s="810"/>
      <c r="AD39" s="810"/>
      <c r="AE39" s="810"/>
      <c r="AF39" s="810"/>
    </row>
    <row r="40" spans="1:32" s="130" customFormat="1" ht="70.7" customHeight="1" x14ac:dyDescent="0.3">
      <c r="A40" s="1423"/>
      <c r="B40" s="1409"/>
      <c r="C40" s="1409"/>
      <c r="D40" s="1409"/>
      <c r="E40" s="918"/>
      <c r="F40" s="918"/>
      <c r="G40" s="919" t="s">
        <v>658</v>
      </c>
      <c r="H40" s="919" t="s">
        <v>659</v>
      </c>
      <c r="I40" s="924" t="s">
        <v>704</v>
      </c>
      <c r="J40" s="921"/>
      <c r="K40" s="922"/>
      <c r="L40" s="928" t="s">
        <v>664</v>
      </c>
      <c r="M40" s="924" t="s">
        <v>708</v>
      </c>
      <c r="N40" s="925"/>
      <c r="O40" s="926"/>
      <c r="R40" s="457"/>
      <c r="S40" s="457"/>
      <c r="T40" s="172"/>
      <c r="U40" s="810"/>
      <c r="V40" s="407"/>
      <c r="W40" s="811"/>
      <c r="X40" s="811"/>
      <c r="Y40" s="811"/>
      <c r="Z40" s="810"/>
      <c r="AA40" s="810"/>
      <c r="AB40" s="810"/>
      <c r="AC40" s="810"/>
      <c r="AD40" s="810"/>
      <c r="AE40" s="810"/>
      <c r="AF40" s="810"/>
    </row>
    <row r="41" spans="1:32" s="130" customFormat="1" ht="33.6" customHeight="1" x14ac:dyDescent="0.25">
      <c r="A41" s="586" t="s">
        <v>758</v>
      </c>
      <c r="B41" s="1412" t="s">
        <v>55</v>
      </c>
      <c r="C41" s="1412"/>
      <c r="D41" s="1412"/>
      <c r="E41" s="911">
        <f>F27</f>
        <v>3155291</v>
      </c>
      <c r="F41" s="911">
        <f>G27</f>
        <v>171593</v>
      </c>
      <c r="G41" s="929" t="s">
        <v>615</v>
      </c>
      <c r="H41" s="929" t="s">
        <v>615</v>
      </c>
      <c r="I41" s="930" t="s">
        <v>615</v>
      </c>
      <c r="J41" s="931" t="s">
        <v>615</v>
      </c>
      <c r="K41" s="914" t="s">
        <v>615</v>
      </c>
      <c r="L41" s="915">
        <f>H27</f>
        <v>0</v>
      </c>
      <c r="M41" s="930" t="s">
        <v>615</v>
      </c>
      <c r="N41" s="932" t="s">
        <v>615</v>
      </c>
      <c r="O41" s="917">
        <f>I27</f>
        <v>2983698</v>
      </c>
      <c r="R41" s="446"/>
      <c r="S41" s="446"/>
      <c r="T41" s="172"/>
      <c r="U41" s="172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</row>
    <row r="42" spans="1:32" s="130" customFormat="1" ht="38.450000000000003" customHeight="1" x14ac:dyDescent="0.25">
      <c r="A42" s="1423" t="s">
        <v>761</v>
      </c>
      <c r="B42" s="1425" t="str">
        <f>B28</f>
        <v>у тому числі  НА, ОЗ, що  придбані за кошти цільового фінансування</v>
      </c>
      <c r="C42" s="1425"/>
      <c r="D42" s="1425"/>
      <c r="E42" s="911">
        <f>F28</f>
        <v>3155291</v>
      </c>
      <c r="F42" s="911">
        <f>G28</f>
        <v>171593</v>
      </c>
      <c r="G42" s="911">
        <f>'Звіт   4,5,6'!H20</f>
        <v>171593</v>
      </c>
      <c r="H42" s="911">
        <f>W26</f>
        <v>0</v>
      </c>
      <c r="I42" s="912">
        <f>R12+R17</f>
        <v>171593</v>
      </c>
      <c r="J42" s="913">
        <f>F42-(G42+H42)</f>
        <v>0</v>
      </c>
      <c r="K42" s="927">
        <f>G42-I42</f>
        <v>0</v>
      </c>
      <c r="L42" s="915">
        <f>H28</f>
        <v>0</v>
      </c>
      <c r="M42" s="912">
        <f>M11+M16</f>
        <v>0</v>
      </c>
      <c r="N42" s="916">
        <f>L42-M42</f>
        <v>0</v>
      </c>
      <c r="O42" s="917">
        <f>I28</f>
        <v>2983698</v>
      </c>
      <c r="R42" s="446"/>
      <c r="S42" s="446"/>
      <c r="T42" s="172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</row>
    <row r="43" spans="1:32" s="130" customFormat="1" ht="99" customHeight="1" thickBot="1" x14ac:dyDescent="0.3">
      <c r="A43" s="1424"/>
      <c r="B43" s="1397"/>
      <c r="C43" s="1397"/>
      <c r="D43" s="1397"/>
      <c r="E43" s="933"/>
      <c r="F43" s="934"/>
      <c r="G43" s="935" t="s">
        <v>710</v>
      </c>
      <c r="H43" s="935" t="s">
        <v>660</v>
      </c>
      <c r="I43" s="936" t="s">
        <v>703</v>
      </c>
      <c r="J43" s="937"/>
      <c r="K43" s="938"/>
      <c r="L43" s="939" t="s">
        <v>692</v>
      </c>
      <c r="M43" s="936" t="s">
        <v>702</v>
      </c>
      <c r="N43" s="940"/>
      <c r="O43" s="941"/>
      <c r="P43" s="131"/>
      <c r="Q43" s="131" t="s">
        <v>616</v>
      </c>
      <c r="R43" s="131"/>
      <c r="S43" s="131"/>
      <c r="T43" s="131"/>
    </row>
    <row r="44" spans="1:32" s="130" customFormat="1" ht="36" customHeight="1" x14ac:dyDescent="0.25">
      <c r="A44" s="330" t="s">
        <v>663</v>
      </c>
      <c r="C44" s="134"/>
      <c r="D44" s="134"/>
      <c r="E44" s="134"/>
      <c r="F44" s="135"/>
      <c r="G44" s="135"/>
      <c r="H44" s="652"/>
      <c r="I44" s="652"/>
      <c r="J44" s="135"/>
      <c r="K44" s="135"/>
      <c r="L44" s="331"/>
      <c r="M44" s="135"/>
      <c r="N44" s="135"/>
      <c r="O44" s="135"/>
      <c r="P44" s="131"/>
      <c r="Q44" s="131"/>
      <c r="R44" s="131"/>
      <c r="S44" s="131"/>
      <c r="T44" s="131"/>
    </row>
    <row r="45" spans="1:32" s="130" customFormat="1" x14ac:dyDescent="0.25">
      <c r="C45" s="134"/>
      <c r="D45" s="134"/>
      <c r="E45" s="134"/>
      <c r="F45" s="135"/>
      <c r="G45" s="135"/>
      <c r="H45" s="135"/>
      <c r="I45" s="135"/>
      <c r="J45" s="135"/>
      <c r="K45" s="135"/>
      <c r="L45" s="331"/>
      <c r="M45" s="135"/>
      <c r="N45" s="135"/>
      <c r="O45" s="135"/>
      <c r="P45" s="131"/>
      <c r="Q45" s="131"/>
      <c r="R45" s="131"/>
      <c r="S45" s="131"/>
      <c r="T45" s="131"/>
    </row>
    <row r="46" spans="1:32" s="130" customFormat="1" x14ac:dyDescent="0.25">
      <c r="C46" s="134"/>
      <c r="D46" s="134"/>
      <c r="E46" s="134"/>
      <c r="F46" s="135"/>
      <c r="G46" s="135"/>
      <c r="H46" s="135"/>
      <c r="I46" s="135"/>
      <c r="J46" s="135"/>
      <c r="K46" s="135"/>
      <c r="L46" s="331"/>
      <c r="M46" s="135"/>
      <c r="N46" s="135"/>
      <c r="O46" s="135"/>
      <c r="P46" s="131"/>
      <c r="Q46" s="131"/>
      <c r="R46" s="131"/>
      <c r="S46" s="131"/>
      <c r="T46" s="131"/>
    </row>
    <row r="47" spans="1:32" s="130" customFormat="1" x14ac:dyDescent="0.25">
      <c r="C47" s="134"/>
      <c r="D47" s="134"/>
      <c r="E47" s="134"/>
      <c r="F47" s="135"/>
      <c r="G47" s="135"/>
      <c r="H47" s="135"/>
      <c r="I47" s="135"/>
      <c r="J47" s="135"/>
      <c r="K47" s="135"/>
      <c r="L47" s="331"/>
      <c r="M47" s="135"/>
      <c r="N47" s="135"/>
      <c r="O47" s="135"/>
      <c r="P47" s="131"/>
      <c r="Q47" s="131"/>
      <c r="R47" s="131"/>
      <c r="S47" s="131"/>
      <c r="T47" s="131"/>
    </row>
    <row r="48" spans="1:32" s="130" customFormat="1" x14ac:dyDescent="0.25">
      <c r="C48" s="134"/>
      <c r="D48" s="134"/>
      <c r="E48" s="134"/>
      <c r="F48" s="135"/>
      <c r="G48" s="135"/>
      <c r="H48" s="135"/>
      <c r="I48" s="135"/>
      <c r="J48" s="135"/>
      <c r="K48" s="135"/>
      <c r="L48" s="331"/>
      <c r="M48" s="135"/>
      <c r="N48" s="135"/>
      <c r="O48" s="135"/>
      <c r="P48" s="131"/>
      <c r="Q48" s="131"/>
      <c r="R48" s="131"/>
      <c r="S48" s="131"/>
      <c r="T48" s="131"/>
    </row>
    <row r="49" spans="3:20" s="130" customFormat="1" x14ac:dyDescent="0.25">
      <c r="C49" s="134"/>
      <c r="D49" s="134"/>
      <c r="E49" s="134"/>
      <c r="F49" s="135"/>
      <c r="G49" s="135"/>
      <c r="H49" s="135"/>
      <c r="I49" s="135"/>
      <c r="J49" s="135"/>
      <c r="K49" s="135"/>
      <c r="L49" s="331"/>
      <c r="M49" s="135"/>
      <c r="N49" s="135"/>
      <c r="O49" s="135"/>
      <c r="P49" s="131"/>
      <c r="Q49" s="131"/>
      <c r="R49" s="131"/>
      <c r="S49" s="131"/>
      <c r="T49" s="131"/>
    </row>
    <row r="50" spans="3:20" s="130" customFormat="1" x14ac:dyDescent="0.25">
      <c r="C50" s="134"/>
      <c r="D50" s="134"/>
      <c r="E50" s="134"/>
      <c r="F50" s="135"/>
      <c r="G50" s="135"/>
      <c r="H50" s="135"/>
      <c r="I50" s="135"/>
      <c r="J50" s="135"/>
      <c r="K50" s="135"/>
      <c r="L50" s="331"/>
      <c r="M50" s="135"/>
      <c r="N50" s="135"/>
      <c r="O50" s="135"/>
      <c r="P50" s="131"/>
      <c r="Q50" s="131"/>
      <c r="R50" s="131"/>
      <c r="S50" s="131"/>
      <c r="T50" s="131"/>
    </row>
    <row r="51" spans="3:20" s="130" customFormat="1" x14ac:dyDescent="0.25">
      <c r="C51" s="134"/>
      <c r="D51" s="134"/>
      <c r="E51" s="134"/>
      <c r="F51" s="135"/>
      <c r="G51" s="135"/>
      <c r="H51" s="135"/>
      <c r="I51" s="135"/>
      <c r="J51" s="135"/>
      <c r="K51" s="135"/>
      <c r="L51" s="331"/>
      <c r="M51" s="135"/>
      <c r="N51" s="135"/>
      <c r="O51" s="135"/>
      <c r="P51" s="131"/>
      <c r="Q51" s="131"/>
      <c r="R51" s="131"/>
      <c r="S51" s="131"/>
      <c r="T51" s="131"/>
    </row>
    <row r="52" spans="3:20" s="130" customFormat="1" x14ac:dyDescent="0.25">
      <c r="C52" s="134"/>
      <c r="D52" s="134"/>
      <c r="E52" s="134"/>
      <c r="F52" s="135"/>
      <c r="G52" s="135"/>
      <c r="H52" s="135"/>
      <c r="I52" s="135"/>
      <c r="J52" s="135"/>
      <c r="K52" s="135"/>
      <c r="L52" s="331"/>
      <c r="M52" s="135"/>
      <c r="N52" s="135"/>
      <c r="O52" s="135"/>
      <c r="P52" s="131"/>
      <c r="Q52" s="131"/>
      <c r="R52" s="131"/>
      <c r="S52" s="131"/>
      <c r="T52" s="131"/>
    </row>
    <row r="53" spans="3:20" s="130" customFormat="1" x14ac:dyDescent="0.25">
      <c r="C53" s="134"/>
      <c r="D53" s="134"/>
      <c r="E53" s="134"/>
      <c r="F53" s="135"/>
      <c r="G53" s="135"/>
      <c r="H53" s="135"/>
      <c r="I53" s="135"/>
      <c r="J53" s="135"/>
      <c r="K53" s="135"/>
      <c r="L53" s="331"/>
      <c r="M53" s="135"/>
      <c r="N53" s="135"/>
      <c r="O53" s="135"/>
      <c r="P53" s="131"/>
      <c r="Q53" s="131"/>
      <c r="R53" s="131"/>
      <c r="S53" s="131"/>
      <c r="T53" s="131"/>
    </row>
    <row r="54" spans="3:20" s="130" customFormat="1" x14ac:dyDescent="0.25">
      <c r="C54" s="134"/>
      <c r="D54" s="134"/>
      <c r="E54" s="134"/>
      <c r="F54" s="135"/>
      <c r="G54" s="135"/>
      <c r="H54" s="135"/>
      <c r="I54" s="135"/>
      <c r="J54" s="135"/>
      <c r="K54" s="135"/>
      <c r="L54" s="331"/>
      <c r="M54" s="135"/>
      <c r="N54" s="135"/>
      <c r="O54" s="135"/>
      <c r="P54" s="131"/>
      <c r="Q54" s="131"/>
      <c r="R54" s="131"/>
      <c r="S54" s="131"/>
      <c r="T54" s="131"/>
    </row>
    <row r="55" spans="3:20" s="130" customFormat="1" x14ac:dyDescent="0.25">
      <c r="C55" s="134"/>
      <c r="D55" s="134"/>
      <c r="E55" s="134"/>
      <c r="F55" s="135"/>
      <c r="G55" s="135"/>
      <c r="H55" s="135"/>
      <c r="I55" s="135"/>
      <c r="J55" s="135"/>
      <c r="K55" s="135"/>
      <c r="L55" s="331"/>
      <c r="M55" s="135"/>
      <c r="N55" s="135"/>
      <c r="O55" s="135"/>
      <c r="P55" s="131"/>
      <c r="Q55" s="131"/>
      <c r="R55" s="131"/>
      <c r="S55" s="131"/>
      <c r="T55" s="131"/>
    </row>
    <row r="56" spans="3:20" s="130" customFormat="1" x14ac:dyDescent="0.25">
      <c r="C56" s="134"/>
      <c r="D56" s="134"/>
      <c r="E56" s="134"/>
      <c r="F56" s="135"/>
      <c r="G56" s="135"/>
      <c r="H56" s="135"/>
      <c r="I56" s="135"/>
      <c r="J56" s="135"/>
      <c r="K56" s="135"/>
      <c r="L56" s="331"/>
      <c r="M56" s="135"/>
      <c r="N56" s="135"/>
      <c r="O56" s="135"/>
      <c r="P56" s="131"/>
      <c r="Q56" s="131"/>
      <c r="R56" s="131"/>
      <c r="S56" s="131"/>
      <c r="T56" s="131"/>
    </row>
    <row r="57" spans="3:20" s="130" customFormat="1" x14ac:dyDescent="0.25">
      <c r="C57" s="134"/>
      <c r="D57" s="134"/>
      <c r="E57" s="134"/>
      <c r="F57" s="135"/>
      <c r="G57" s="135"/>
      <c r="H57" s="135"/>
      <c r="I57" s="135"/>
      <c r="J57" s="135"/>
      <c r="K57" s="135"/>
      <c r="L57" s="331"/>
      <c r="M57" s="135"/>
      <c r="N57" s="135"/>
      <c r="O57" s="135"/>
      <c r="P57" s="131"/>
      <c r="Q57" s="131"/>
      <c r="R57" s="131"/>
      <c r="S57" s="131"/>
      <c r="T57" s="131"/>
    </row>
    <row r="58" spans="3:20" s="130" customFormat="1" x14ac:dyDescent="0.25">
      <c r="C58" s="134"/>
      <c r="D58" s="134"/>
      <c r="E58" s="134"/>
      <c r="F58" s="135"/>
      <c r="G58" s="135"/>
      <c r="H58" s="135"/>
      <c r="I58" s="135"/>
      <c r="J58" s="135"/>
      <c r="K58" s="135"/>
      <c r="L58" s="331"/>
      <c r="M58" s="135"/>
      <c r="N58" s="135"/>
      <c r="O58" s="135"/>
      <c r="P58" s="131"/>
      <c r="Q58" s="131"/>
      <c r="R58" s="131"/>
      <c r="S58" s="131"/>
      <c r="T58" s="131"/>
    </row>
    <row r="59" spans="3:20" s="130" customFormat="1" x14ac:dyDescent="0.25">
      <c r="C59" s="134"/>
      <c r="D59" s="134"/>
      <c r="E59" s="134"/>
      <c r="F59" s="135"/>
      <c r="G59" s="135"/>
      <c r="H59" s="135"/>
      <c r="I59" s="135"/>
      <c r="J59" s="135"/>
      <c r="K59" s="135"/>
      <c r="L59" s="331"/>
      <c r="M59" s="135"/>
      <c r="N59" s="135"/>
      <c r="O59" s="135"/>
      <c r="P59" s="131"/>
      <c r="Q59" s="131"/>
      <c r="R59" s="131"/>
      <c r="S59" s="131"/>
      <c r="T59" s="131"/>
    </row>
    <row r="60" spans="3:20" s="130" customFormat="1" x14ac:dyDescent="0.25">
      <c r="C60" s="134"/>
      <c r="D60" s="134"/>
      <c r="E60" s="134"/>
      <c r="F60" s="135"/>
      <c r="G60" s="135"/>
      <c r="H60" s="135"/>
      <c r="I60" s="135"/>
      <c r="J60" s="135"/>
      <c r="K60" s="135"/>
      <c r="L60" s="331"/>
      <c r="M60" s="135"/>
      <c r="N60" s="135"/>
      <c r="O60" s="135"/>
      <c r="P60" s="131"/>
      <c r="Q60" s="131"/>
      <c r="R60" s="131"/>
      <c r="S60" s="131"/>
      <c r="T60" s="131"/>
    </row>
    <row r="61" spans="3:20" s="130" customFormat="1" x14ac:dyDescent="0.25">
      <c r="C61" s="134"/>
      <c r="D61" s="134"/>
      <c r="E61" s="134"/>
      <c r="F61" s="135"/>
      <c r="G61" s="135"/>
      <c r="H61" s="135"/>
      <c r="I61" s="135"/>
      <c r="J61" s="135"/>
      <c r="K61" s="135"/>
      <c r="L61" s="331"/>
      <c r="M61" s="135"/>
      <c r="N61" s="135"/>
      <c r="O61" s="135"/>
      <c r="P61" s="131"/>
      <c r="Q61" s="131"/>
      <c r="R61" s="131"/>
      <c r="S61" s="131"/>
      <c r="T61" s="131"/>
    </row>
    <row r="62" spans="3:20" s="130" customFormat="1" x14ac:dyDescent="0.25">
      <c r="C62" s="134"/>
      <c r="D62" s="134"/>
      <c r="E62" s="134"/>
      <c r="F62" s="135"/>
      <c r="G62" s="135"/>
      <c r="H62" s="135"/>
      <c r="I62" s="135"/>
      <c r="J62" s="135"/>
      <c r="K62" s="135"/>
      <c r="L62" s="331"/>
      <c r="M62" s="135"/>
      <c r="N62" s="135"/>
      <c r="O62" s="135"/>
      <c r="P62" s="131"/>
      <c r="Q62" s="131"/>
      <c r="R62" s="131"/>
      <c r="S62" s="131"/>
      <c r="T62" s="131"/>
    </row>
    <row r="63" spans="3:20" s="130" customFormat="1" x14ac:dyDescent="0.25">
      <c r="C63" s="134"/>
      <c r="D63" s="134"/>
      <c r="E63" s="134"/>
      <c r="F63" s="135"/>
      <c r="G63" s="135"/>
      <c r="H63" s="135"/>
      <c r="I63" s="135"/>
      <c r="J63" s="135"/>
      <c r="K63" s="135"/>
      <c r="L63" s="331"/>
      <c r="M63" s="135"/>
      <c r="N63" s="135"/>
      <c r="O63" s="135"/>
      <c r="P63" s="131"/>
      <c r="Q63" s="131"/>
      <c r="R63" s="131"/>
      <c r="S63" s="131"/>
      <c r="T63" s="131"/>
    </row>
    <row r="64" spans="3:20" s="130" customFormat="1" x14ac:dyDescent="0.25">
      <c r="C64" s="134"/>
      <c r="D64" s="134"/>
      <c r="E64" s="134"/>
      <c r="F64" s="135"/>
      <c r="G64" s="135"/>
      <c r="H64" s="135"/>
      <c r="I64" s="135"/>
      <c r="J64" s="135"/>
      <c r="K64" s="135"/>
      <c r="L64" s="331"/>
      <c r="M64" s="135"/>
      <c r="N64" s="135"/>
      <c r="O64" s="135"/>
      <c r="P64" s="131"/>
      <c r="Q64" s="131"/>
      <c r="R64" s="131"/>
      <c r="S64" s="131"/>
      <c r="T64" s="131"/>
    </row>
    <row r="65" spans="3:54" s="130" customFormat="1" x14ac:dyDescent="0.25">
      <c r="C65" s="134"/>
      <c r="D65" s="134"/>
      <c r="E65" s="134"/>
      <c r="F65" s="135"/>
      <c r="G65" s="135"/>
      <c r="H65" s="135"/>
      <c r="I65" s="135"/>
      <c r="J65" s="135"/>
      <c r="K65" s="135"/>
      <c r="L65" s="331"/>
      <c r="M65" s="135"/>
      <c r="N65" s="135"/>
      <c r="O65" s="135"/>
      <c r="P65" s="131"/>
      <c r="Q65" s="131"/>
      <c r="R65" s="131"/>
      <c r="S65" s="131"/>
      <c r="T65" s="131"/>
    </row>
    <row r="66" spans="3:54" s="130" customFormat="1" x14ac:dyDescent="0.25">
      <c r="C66" s="134"/>
      <c r="D66" s="134"/>
      <c r="E66" s="134"/>
      <c r="F66" s="135"/>
      <c r="G66" s="135"/>
      <c r="H66" s="135"/>
      <c r="I66" s="135"/>
      <c r="J66" s="135"/>
      <c r="K66" s="135"/>
      <c r="L66" s="331"/>
      <c r="M66" s="135"/>
      <c r="N66" s="135"/>
      <c r="O66" s="135"/>
      <c r="P66" s="131"/>
      <c r="Q66" s="131"/>
      <c r="R66" s="131"/>
      <c r="S66" s="131"/>
      <c r="T66" s="68"/>
      <c r="AY66" s="2"/>
      <c r="AZ66" s="2"/>
      <c r="BA66" s="2"/>
      <c r="BB66" s="2"/>
    </row>
  </sheetData>
  <sheetProtection password="FB6B" sheet="1" formatCells="0" formatColumns="0" formatRows="0"/>
  <mergeCells count="60">
    <mergeCell ref="A42:A43"/>
    <mergeCell ref="B42:D43"/>
    <mergeCell ref="B31:I31"/>
    <mergeCell ref="A33:B33"/>
    <mergeCell ref="A37:A38"/>
    <mergeCell ref="A39:A40"/>
    <mergeCell ref="A34:A35"/>
    <mergeCell ref="N33:O33"/>
    <mergeCell ref="B36:D36"/>
    <mergeCell ref="B41:D41"/>
    <mergeCell ref="B37:D38"/>
    <mergeCell ref="J34:K34"/>
    <mergeCell ref="L34:L35"/>
    <mergeCell ref="O34:O35"/>
    <mergeCell ref="B39:D40"/>
    <mergeCell ref="B34:D35"/>
    <mergeCell ref="E34:E35"/>
    <mergeCell ref="F34:F35"/>
    <mergeCell ref="G34:I34"/>
    <mergeCell ref="B28:D28"/>
    <mergeCell ref="AA10:AA13"/>
    <mergeCell ref="AA15:AA18"/>
    <mergeCell ref="A7:A8"/>
    <mergeCell ref="B13:D13"/>
    <mergeCell ref="B18:D18"/>
    <mergeCell ref="B27:D27"/>
    <mergeCell ref="B17:D17"/>
    <mergeCell ref="B19:D19"/>
    <mergeCell ref="B23:D23"/>
    <mergeCell ref="B9:D9"/>
    <mergeCell ref="B10:D10"/>
    <mergeCell ref="B11:D11"/>
    <mergeCell ref="B24:D24"/>
    <mergeCell ref="B25:D25"/>
    <mergeCell ref="B26:D26"/>
    <mergeCell ref="Z7:AA7"/>
    <mergeCell ref="Z15:Z18"/>
    <mergeCell ref="Z10:Z13"/>
    <mergeCell ref="U7:Y7"/>
    <mergeCell ref="B14:D14"/>
    <mergeCell ref="B15:D15"/>
    <mergeCell ref="B16:D16"/>
    <mergeCell ref="B12:D12"/>
    <mergeCell ref="E7:E8"/>
    <mergeCell ref="B7:D8"/>
    <mergeCell ref="B1:D1"/>
    <mergeCell ref="P1:Q1"/>
    <mergeCell ref="P2:Q2"/>
    <mergeCell ref="B3:Q3"/>
    <mergeCell ref="F7:J7"/>
    <mergeCell ref="K7:O7"/>
    <mergeCell ref="P7:T7"/>
    <mergeCell ref="B5:K5"/>
    <mergeCell ref="P28:V28"/>
    <mergeCell ref="J22:M22"/>
    <mergeCell ref="P24:V24"/>
    <mergeCell ref="P23:V23"/>
    <mergeCell ref="P25:V25"/>
    <mergeCell ref="P26:V26"/>
    <mergeCell ref="P27:V27"/>
  </mergeCells>
  <conditionalFormatting sqref="Z14">
    <cfRule type="containsText" dxfId="31" priority="44" operator="containsText" text="TRUE">
      <formula>NOT(ISERROR(SEARCH("TRUE",Z14)))</formula>
    </cfRule>
  </conditionalFormatting>
  <conditionalFormatting sqref="Z14">
    <cfRule type="containsText" dxfId="30" priority="42" operator="containsText" text="FALSE">
      <formula>NOT(ISERROR(SEARCH("FALSE",Z14)))</formula>
    </cfRule>
  </conditionalFormatting>
  <conditionalFormatting sqref="Z14">
    <cfRule type="containsText" dxfId="29" priority="43" operator="containsText" text="Увага">
      <formula>NOT(ISERROR(SEARCH("Увага",Z14)))</formula>
    </cfRule>
  </conditionalFormatting>
  <conditionalFormatting sqref="Z19">
    <cfRule type="containsText" dxfId="28" priority="41" operator="containsText" text="TRUE">
      <formula>NOT(ISERROR(SEARCH("TRUE",Z19)))</formula>
    </cfRule>
  </conditionalFormatting>
  <conditionalFormatting sqref="Z19">
    <cfRule type="containsText" dxfId="27" priority="39" operator="containsText" text="FALSE">
      <formula>NOT(ISERROR(SEARCH("FALSE",Z19)))</formula>
    </cfRule>
  </conditionalFormatting>
  <conditionalFormatting sqref="Z19">
    <cfRule type="containsText" dxfId="26" priority="40" operator="containsText" text="Увага">
      <formula>NOT(ISERROR(SEARCH("Увага",Z19)))</formula>
    </cfRule>
  </conditionalFormatting>
  <conditionalFormatting sqref="AA14">
    <cfRule type="containsText" dxfId="25" priority="38" operator="containsText" text="TRUE">
      <formula>NOT(ISERROR(SEARCH("TRUE",AA14)))</formula>
    </cfRule>
  </conditionalFormatting>
  <conditionalFormatting sqref="AA14">
    <cfRule type="containsText" dxfId="24" priority="36" operator="containsText" text="FALSE">
      <formula>NOT(ISERROR(SEARCH("FALSE",AA14)))</formula>
    </cfRule>
  </conditionalFormatting>
  <conditionalFormatting sqref="AA14">
    <cfRule type="containsText" dxfId="23" priority="37" operator="containsText" text="Увага">
      <formula>NOT(ISERROR(SEARCH("Увага",AA14)))</formula>
    </cfRule>
  </conditionalFormatting>
  <conditionalFormatting sqref="AA19">
    <cfRule type="cellIs" dxfId="22" priority="32" operator="lessThan">
      <formula>0</formula>
    </cfRule>
    <cfRule type="containsText" dxfId="21" priority="35" operator="containsText" text="TRUE">
      <formula>NOT(ISERROR(SEARCH("TRUE",AA19)))</formula>
    </cfRule>
  </conditionalFormatting>
  <conditionalFormatting sqref="AA19">
    <cfRule type="containsText" dxfId="20" priority="33" operator="containsText" text="FALSE">
      <formula>NOT(ISERROR(SEARCH("FALSE",AA19)))</formula>
    </cfRule>
  </conditionalFormatting>
  <conditionalFormatting sqref="AA19">
    <cfRule type="containsText" dxfId="19" priority="34" operator="containsText" text="Увага">
      <formula>NOT(ISERROR(SEARCH("Увага",AA19)))</formula>
    </cfRule>
  </conditionalFormatting>
  <conditionalFormatting sqref="W28 J31 F42:L42 N42:O42 H44:I44 F41:O41 N40:O40 F37:O37 F40:K40 F39:O39 F38:L38 N38:O38 F28:G28 G27 F26:G26 X10:Y19 F25:K25 V10:W10 V15:W15 K26:K28 M25:M28 H26:I28 F10:T19">
    <cfRule type="cellIs" dxfId="0" priority="31" operator="lessThan">
      <formula>0</formula>
    </cfRule>
  </conditionalFormatting>
  <conditionalFormatting sqref="M42">
    <cfRule type="cellIs" dxfId="18" priority="26" operator="lessThan">
      <formula>0</formula>
    </cfRule>
  </conditionalFormatting>
  <conditionalFormatting sqref="G43:I43">
    <cfRule type="cellIs" dxfId="17" priority="24" operator="lessThan">
      <formula>0</formula>
    </cfRule>
  </conditionalFormatting>
  <conditionalFormatting sqref="L43:M43">
    <cfRule type="cellIs" dxfId="16" priority="23" operator="lessThan">
      <formula>0</formula>
    </cfRule>
  </conditionalFormatting>
  <conditionalFormatting sqref="L40:M40">
    <cfRule type="cellIs" dxfId="15" priority="22" operator="lessThan">
      <formula>0</formula>
    </cfRule>
  </conditionalFormatting>
  <conditionalFormatting sqref="M38">
    <cfRule type="cellIs" dxfId="14" priority="21" operator="lessThan">
      <formula>0</formula>
    </cfRule>
  </conditionalFormatting>
  <conditionalFormatting sqref="V36:W36">
    <cfRule type="cellIs" dxfId="13" priority="4" operator="lessThan">
      <formula>0</formula>
    </cfRule>
  </conditionalFormatting>
  <conditionalFormatting sqref="F27">
    <cfRule type="cellIs" dxfId="12" priority="18" operator="lessThan">
      <formula>0</formula>
    </cfRule>
  </conditionalFormatting>
  <conditionalFormatting sqref="J26">
    <cfRule type="cellIs" dxfId="11" priority="17" operator="lessThan">
      <formula>0</formula>
    </cfRule>
  </conditionalFormatting>
  <conditionalFormatting sqref="J28">
    <cfRule type="cellIs" dxfId="10" priority="16" operator="lessThan">
      <formula>0</formula>
    </cfRule>
  </conditionalFormatting>
  <conditionalFormatting sqref="U18:W19 U10:U17">
    <cfRule type="cellIs" dxfId="9" priority="15" operator="lessThan">
      <formula>0</formula>
    </cfRule>
  </conditionalFormatting>
  <conditionalFormatting sqref="L25">
    <cfRule type="cellIs" dxfId="8" priority="11" operator="lessThan">
      <formula>0</formula>
    </cfRule>
  </conditionalFormatting>
  <conditionalFormatting sqref="L26">
    <cfRule type="cellIs" dxfId="7" priority="10" operator="lessThan">
      <formula>0</formula>
    </cfRule>
  </conditionalFormatting>
  <conditionalFormatting sqref="L28">
    <cfRule type="cellIs" dxfId="6" priority="9" operator="lessThan">
      <formula>0</formula>
    </cfRule>
  </conditionalFormatting>
  <conditionalFormatting sqref="X31:Y40">
    <cfRule type="cellIs" dxfId="5" priority="7" operator="lessThan">
      <formula>0</formula>
    </cfRule>
  </conditionalFormatting>
  <conditionalFormatting sqref="U32:W35 U31 U37:W40 U36 Z31:AF40">
    <cfRule type="cellIs" dxfId="4" priority="6" operator="lessThan">
      <formula>0</formula>
    </cfRule>
  </conditionalFormatting>
  <conditionalFormatting sqref="V31:W31">
    <cfRule type="cellIs" dxfId="3" priority="5" operator="lessThan">
      <formula>0</formula>
    </cfRule>
  </conditionalFormatting>
  <conditionalFormatting sqref="V11:W14">
    <cfRule type="cellIs" dxfId="2" priority="3" operator="lessThan">
      <formula>0</formula>
    </cfRule>
  </conditionalFormatting>
  <conditionalFormatting sqref="V16:W17">
    <cfRule type="cellIs" dxfId="1" priority="1" operator="lessThan">
      <formula>0</formula>
    </cfRule>
  </conditionalFormatting>
  <printOptions horizontalCentered="1"/>
  <pageMargins left="0.19685039370078741" right="0.27559055118110237" top="0.59055118110236227" bottom="0.35433070866141736" header="0.39370078740157483" footer="0.31496062992125984"/>
  <pageSetup paperSize="9" scale="48" orientation="landscape" r:id="rId1"/>
  <headerFooter alignWithMargins="0">
    <oddFooter>&amp;RСтор.  &amp;P</oddFooter>
  </headerFooter>
  <rowBreaks count="1" manualBreakCount="1">
    <brk id="22" max="16383" man="1"/>
  </rowBreaks>
  <colBreaks count="1" manualBreakCount="1">
    <brk id="1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Аркуш3">
    <tabColor rgb="FF92D050"/>
  </sheetPr>
  <dimension ref="A1:AQ91"/>
  <sheetViews>
    <sheetView view="pageBreakPreview" zoomScale="50" zoomScaleNormal="60" zoomScaleSheetLayoutView="50" workbookViewId="0">
      <selection activeCell="G12" sqref="G12"/>
    </sheetView>
  </sheetViews>
  <sheetFormatPr defaultColWidth="9.140625" defaultRowHeight="15" x14ac:dyDescent="0.25"/>
  <cols>
    <col min="1" max="1" width="9.140625" style="36"/>
    <col min="2" max="2" width="10.140625" style="36" customWidth="1"/>
    <col min="3" max="3" width="54" style="36" customWidth="1"/>
    <col min="4" max="4" width="17.5703125" style="36" customWidth="1"/>
    <col min="5" max="7" width="15.85546875" style="36" customWidth="1"/>
    <col min="8" max="8" width="15.42578125" style="36" customWidth="1"/>
    <col min="9" max="18" width="9.140625" style="147"/>
    <col min="19" max="43" width="9.140625" style="127"/>
    <col min="44" max="16384" width="9.140625" style="10"/>
  </cols>
  <sheetData>
    <row r="1" spans="1:43" ht="18" customHeight="1" x14ac:dyDescent="0.25">
      <c r="B1" s="230"/>
      <c r="C1" s="231" t="s">
        <v>0</v>
      </c>
      <c r="D1" s="1431">
        <f>'Звіт 1,2,3'!D1</f>
        <v>37650571</v>
      </c>
      <c r="E1" s="1431"/>
      <c r="F1" s="1432" t="s">
        <v>1</v>
      </c>
      <c r="G1" s="1432"/>
      <c r="H1" s="232">
        <f>'Звіт 1,2,3'!H1</f>
        <v>150</v>
      </c>
    </row>
    <row r="2" spans="1:43" ht="47.45" customHeight="1" x14ac:dyDescent="0.25">
      <c r="F2" s="1433" t="s">
        <v>242</v>
      </c>
      <c r="G2" s="1434"/>
      <c r="H2" s="1434"/>
    </row>
    <row r="3" spans="1:43" ht="23.45" customHeight="1" x14ac:dyDescent="0.3">
      <c r="A3" s="1435" t="s">
        <v>340</v>
      </c>
      <c r="B3" s="1435"/>
      <c r="C3" s="1435"/>
      <c r="D3" s="1435"/>
      <c r="E3" s="1435"/>
      <c r="F3" s="1435"/>
      <c r="G3" s="1435"/>
      <c r="H3" s="1435"/>
    </row>
    <row r="4" spans="1:43" ht="17.45" customHeight="1" thickBot="1" x14ac:dyDescent="0.35">
      <c r="H4" s="233" t="s">
        <v>305</v>
      </c>
    </row>
    <row r="5" spans="1:43" ht="18.75" customHeight="1" x14ac:dyDescent="0.25">
      <c r="A5" s="1436" t="s">
        <v>6</v>
      </c>
      <c r="B5" s="1302" t="s">
        <v>245</v>
      </c>
      <c r="C5" s="1441" t="s">
        <v>7</v>
      </c>
      <c r="D5" s="1304" t="s">
        <v>89</v>
      </c>
      <c r="E5" s="1304" t="s">
        <v>8</v>
      </c>
      <c r="F5" s="1304" t="s">
        <v>98</v>
      </c>
      <c r="G5" s="1304" t="s">
        <v>99</v>
      </c>
      <c r="H5" s="1439" t="s">
        <v>388</v>
      </c>
    </row>
    <row r="6" spans="1:43" ht="18.75" customHeight="1" x14ac:dyDescent="0.25">
      <c r="A6" s="1437"/>
      <c r="B6" s="1303"/>
      <c r="C6" s="1090"/>
      <c r="D6" s="1438"/>
      <c r="E6" s="1438"/>
      <c r="F6" s="1438"/>
      <c r="G6" s="1438"/>
      <c r="H6" s="1440"/>
    </row>
    <row r="7" spans="1:43" ht="15.6" customHeight="1" x14ac:dyDescent="0.25">
      <c r="A7" s="1437"/>
      <c r="B7" s="1303"/>
      <c r="C7" s="1090"/>
      <c r="D7" s="1438"/>
      <c r="E7" s="1438"/>
      <c r="F7" s="1438"/>
      <c r="G7" s="1438"/>
      <c r="H7" s="1440"/>
    </row>
    <row r="8" spans="1:43" s="25" customFormat="1" ht="15.75" x14ac:dyDescent="0.25">
      <c r="A8" s="138" t="s">
        <v>9</v>
      </c>
      <c r="B8" s="74" t="s">
        <v>84</v>
      </c>
      <c r="C8" s="74">
        <v>3</v>
      </c>
      <c r="D8" s="47">
        <v>4</v>
      </c>
      <c r="E8" s="74">
        <v>5</v>
      </c>
      <c r="F8" s="47">
        <v>6</v>
      </c>
      <c r="G8" s="74">
        <v>7</v>
      </c>
      <c r="H8" s="137">
        <v>8</v>
      </c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</row>
    <row r="9" spans="1:43" ht="24" customHeight="1" x14ac:dyDescent="0.3">
      <c r="A9" s="236">
        <v>1</v>
      </c>
      <c r="B9" s="237"/>
      <c r="C9" s="238" t="s">
        <v>208</v>
      </c>
      <c r="D9" s="60">
        <f>SUM(D10:D40)</f>
        <v>2878960.33</v>
      </c>
      <c r="E9" s="60">
        <f t="shared" ref="E9:H9" si="0">SUM(E10:E40)</f>
        <v>2948311.8400000003</v>
      </c>
      <c r="F9" s="60">
        <f>SUM(F10:F40)</f>
        <v>0</v>
      </c>
      <c r="G9" s="60">
        <f t="shared" si="0"/>
        <v>2948311.8400000003</v>
      </c>
      <c r="H9" s="60">
        <f t="shared" si="0"/>
        <v>0</v>
      </c>
    </row>
    <row r="10" spans="1:43" ht="24" customHeight="1" x14ac:dyDescent="0.3">
      <c r="A10" s="31" t="s">
        <v>195</v>
      </c>
      <c r="B10" s="40">
        <v>1</v>
      </c>
      <c r="C10" s="38" t="s">
        <v>243</v>
      </c>
      <c r="D10" s="222">
        <f>'Дод_Доходи ПМГ '!D10</f>
        <v>2878960.33</v>
      </c>
      <c r="E10" s="397">
        <f>F10+G10+H10</f>
        <v>2948311.8400000003</v>
      </c>
      <c r="F10" s="222">
        <v>0</v>
      </c>
      <c r="G10" s="222">
        <f>'Дод_Доходи ПМГ '!E9</f>
        <v>2948311.8400000003</v>
      </c>
      <c r="H10" s="223">
        <v>0</v>
      </c>
    </row>
    <row r="11" spans="1:43" ht="24" customHeight="1" x14ac:dyDescent="0.3">
      <c r="A11" s="31" t="s">
        <v>273</v>
      </c>
      <c r="B11" s="40">
        <v>2</v>
      </c>
      <c r="C11" s="38" t="s">
        <v>244</v>
      </c>
      <c r="D11" s="222">
        <v>0</v>
      </c>
      <c r="E11" s="397">
        <f t="shared" ref="E11:E37" si="1">F11+G11+H11</f>
        <v>0</v>
      </c>
      <c r="F11" s="222">
        <v>0</v>
      </c>
      <c r="G11" s="222">
        <v>0</v>
      </c>
      <c r="H11" s="223">
        <v>0</v>
      </c>
    </row>
    <row r="12" spans="1:43" s="36" customFormat="1" ht="34.5" customHeight="1" x14ac:dyDescent="0.3">
      <c r="A12" s="31" t="s">
        <v>274</v>
      </c>
      <c r="B12" s="40">
        <v>3</v>
      </c>
      <c r="C12" s="30" t="s">
        <v>246</v>
      </c>
      <c r="D12" s="222">
        <v>0</v>
      </c>
      <c r="E12" s="397">
        <f t="shared" si="1"/>
        <v>0</v>
      </c>
      <c r="F12" s="222">
        <v>0</v>
      </c>
      <c r="G12" s="222">
        <v>0</v>
      </c>
      <c r="H12" s="223">
        <v>0</v>
      </c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</row>
    <row r="13" spans="1:43" ht="37.5" x14ac:dyDescent="0.3">
      <c r="A13" s="31" t="s">
        <v>275</v>
      </c>
      <c r="B13" s="40">
        <v>4</v>
      </c>
      <c r="C13" s="30" t="s">
        <v>247</v>
      </c>
      <c r="D13" s="222">
        <v>0</v>
      </c>
      <c r="E13" s="397">
        <f t="shared" si="1"/>
        <v>0</v>
      </c>
      <c r="F13" s="222">
        <v>0</v>
      </c>
      <c r="G13" s="222">
        <v>0</v>
      </c>
      <c r="H13" s="223">
        <v>0</v>
      </c>
    </row>
    <row r="14" spans="1:43" ht="37.5" x14ac:dyDescent="0.3">
      <c r="A14" s="31" t="s">
        <v>276</v>
      </c>
      <c r="B14" s="40">
        <v>5</v>
      </c>
      <c r="C14" s="30" t="s">
        <v>248</v>
      </c>
      <c r="D14" s="222">
        <v>0</v>
      </c>
      <c r="E14" s="397">
        <f t="shared" si="1"/>
        <v>0</v>
      </c>
      <c r="F14" s="222">
        <v>0</v>
      </c>
      <c r="G14" s="222">
        <v>0</v>
      </c>
      <c r="H14" s="223">
        <v>0</v>
      </c>
    </row>
    <row r="15" spans="1:43" ht="35.1" customHeight="1" x14ac:dyDescent="0.3">
      <c r="A15" s="31" t="s">
        <v>277</v>
      </c>
      <c r="B15" s="40">
        <v>6</v>
      </c>
      <c r="C15" s="30" t="s">
        <v>249</v>
      </c>
      <c r="D15" s="222">
        <v>0</v>
      </c>
      <c r="E15" s="397">
        <f t="shared" si="1"/>
        <v>0</v>
      </c>
      <c r="F15" s="222">
        <v>0</v>
      </c>
      <c r="G15" s="222">
        <v>0</v>
      </c>
      <c r="H15" s="223">
        <v>0</v>
      </c>
    </row>
    <row r="16" spans="1:43" ht="18.75" x14ac:dyDescent="0.3">
      <c r="A16" s="31" t="s">
        <v>278</v>
      </c>
      <c r="B16" s="40">
        <v>7</v>
      </c>
      <c r="C16" s="30" t="s">
        <v>269</v>
      </c>
      <c r="D16" s="222">
        <v>0</v>
      </c>
      <c r="E16" s="397">
        <f t="shared" si="1"/>
        <v>0</v>
      </c>
      <c r="F16" s="222">
        <v>0</v>
      </c>
      <c r="G16" s="222">
        <v>0</v>
      </c>
      <c r="H16" s="223">
        <v>0</v>
      </c>
    </row>
    <row r="17" spans="1:8" ht="37.5" x14ac:dyDescent="0.3">
      <c r="A17" s="31" t="s">
        <v>279</v>
      </c>
      <c r="B17" s="40">
        <v>8</v>
      </c>
      <c r="C17" s="30" t="s">
        <v>270</v>
      </c>
      <c r="D17" s="222">
        <v>0</v>
      </c>
      <c r="E17" s="397">
        <f t="shared" si="1"/>
        <v>0</v>
      </c>
      <c r="F17" s="222">
        <v>0</v>
      </c>
      <c r="G17" s="222">
        <v>0</v>
      </c>
      <c r="H17" s="223">
        <v>0</v>
      </c>
    </row>
    <row r="18" spans="1:8" ht="79.349999999999994" customHeight="1" x14ac:dyDescent="0.3">
      <c r="A18" s="31" t="s">
        <v>280</v>
      </c>
      <c r="B18" s="40">
        <v>9</v>
      </c>
      <c r="C18" s="30" t="s">
        <v>250</v>
      </c>
      <c r="D18" s="222">
        <v>0</v>
      </c>
      <c r="E18" s="397">
        <f t="shared" si="1"/>
        <v>0</v>
      </c>
      <c r="F18" s="222">
        <v>0</v>
      </c>
      <c r="G18" s="222">
        <v>0</v>
      </c>
      <c r="H18" s="223">
        <v>0</v>
      </c>
    </row>
    <row r="19" spans="1:8" ht="20.100000000000001" customHeight="1" x14ac:dyDescent="0.3">
      <c r="A19" s="31" t="s">
        <v>281</v>
      </c>
      <c r="B19" s="40">
        <v>10</v>
      </c>
      <c r="C19" s="30" t="s">
        <v>251</v>
      </c>
      <c r="D19" s="222">
        <v>0</v>
      </c>
      <c r="E19" s="397">
        <f t="shared" si="1"/>
        <v>0</v>
      </c>
      <c r="F19" s="222">
        <v>0</v>
      </c>
      <c r="G19" s="222">
        <v>0</v>
      </c>
      <c r="H19" s="223">
        <v>0</v>
      </c>
    </row>
    <row r="20" spans="1:8" ht="20.100000000000001" customHeight="1" x14ac:dyDescent="0.3">
      <c r="A20" s="31" t="s">
        <v>282</v>
      </c>
      <c r="B20" s="40">
        <v>11</v>
      </c>
      <c r="C20" s="30" t="s">
        <v>252</v>
      </c>
      <c r="D20" s="222">
        <v>0</v>
      </c>
      <c r="E20" s="397">
        <f t="shared" si="1"/>
        <v>0</v>
      </c>
      <c r="F20" s="222">
        <v>0</v>
      </c>
      <c r="G20" s="222">
        <v>0</v>
      </c>
      <c r="H20" s="223">
        <v>0</v>
      </c>
    </row>
    <row r="21" spans="1:8" ht="20.100000000000001" customHeight="1" x14ac:dyDescent="0.3">
      <c r="A21" s="31" t="s">
        <v>283</v>
      </c>
      <c r="B21" s="40">
        <v>12</v>
      </c>
      <c r="C21" s="30" t="s">
        <v>253</v>
      </c>
      <c r="D21" s="222">
        <v>0</v>
      </c>
      <c r="E21" s="397">
        <f t="shared" si="1"/>
        <v>0</v>
      </c>
      <c r="F21" s="222">
        <v>0</v>
      </c>
      <c r="G21" s="222">
        <v>0</v>
      </c>
      <c r="H21" s="223">
        <v>0</v>
      </c>
    </row>
    <row r="22" spans="1:8" ht="20.100000000000001" customHeight="1" x14ac:dyDescent="0.3">
      <c r="A22" s="31" t="s">
        <v>284</v>
      </c>
      <c r="B22" s="40">
        <v>13</v>
      </c>
      <c r="C22" s="30" t="s">
        <v>254</v>
      </c>
      <c r="D22" s="222">
        <v>0</v>
      </c>
      <c r="E22" s="397">
        <f t="shared" si="1"/>
        <v>0</v>
      </c>
      <c r="F22" s="222">
        <v>0</v>
      </c>
      <c r="G22" s="222">
        <v>0</v>
      </c>
      <c r="H22" s="223">
        <v>0</v>
      </c>
    </row>
    <row r="23" spans="1:8" ht="20.100000000000001" customHeight="1" x14ac:dyDescent="0.3">
      <c r="A23" s="31" t="s">
        <v>285</v>
      </c>
      <c r="B23" s="40">
        <v>14</v>
      </c>
      <c r="C23" s="30" t="s">
        <v>255</v>
      </c>
      <c r="D23" s="222">
        <v>0</v>
      </c>
      <c r="E23" s="397">
        <f t="shared" si="1"/>
        <v>0</v>
      </c>
      <c r="F23" s="222">
        <v>0</v>
      </c>
      <c r="G23" s="222">
        <v>0</v>
      </c>
      <c r="H23" s="223">
        <v>0</v>
      </c>
    </row>
    <row r="24" spans="1:8" ht="20.100000000000001" customHeight="1" x14ac:dyDescent="0.3">
      <c r="A24" s="31" t="s">
        <v>286</v>
      </c>
      <c r="B24" s="40">
        <v>15</v>
      </c>
      <c r="C24" s="30" t="s">
        <v>256</v>
      </c>
      <c r="D24" s="222">
        <v>0</v>
      </c>
      <c r="E24" s="397">
        <f t="shared" si="1"/>
        <v>0</v>
      </c>
      <c r="F24" s="222">
        <v>0</v>
      </c>
      <c r="G24" s="222">
        <v>0</v>
      </c>
      <c r="H24" s="223">
        <v>0</v>
      </c>
    </row>
    <row r="25" spans="1:8" ht="57" customHeight="1" x14ac:dyDescent="0.3">
      <c r="A25" s="31" t="s">
        <v>287</v>
      </c>
      <c r="B25" s="40">
        <v>16</v>
      </c>
      <c r="C25" s="30" t="s">
        <v>257</v>
      </c>
      <c r="D25" s="222">
        <v>0</v>
      </c>
      <c r="E25" s="397">
        <f t="shared" si="1"/>
        <v>0</v>
      </c>
      <c r="F25" s="222">
        <v>0</v>
      </c>
      <c r="G25" s="222">
        <v>0</v>
      </c>
      <c r="H25" s="223">
        <v>0</v>
      </c>
    </row>
    <row r="26" spans="1:8" ht="56.25" x14ac:dyDescent="0.3">
      <c r="A26" s="31" t="s">
        <v>288</v>
      </c>
      <c r="B26" s="40">
        <v>17</v>
      </c>
      <c r="C26" s="37" t="s">
        <v>258</v>
      </c>
      <c r="D26" s="222">
        <v>0</v>
      </c>
      <c r="E26" s="397">
        <f t="shared" si="1"/>
        <v>0</v>
      </c>
      <c r="F26" s="222">
        <v>0</v>
      </c>
      <c r="G26" s="222">
        <v>0</v>
      </c>
      <c r="H26" s="223">
        <v>0</v>
      </c>
    </row>
    <row r="27" spans="1:8" ht="56.25" x14ac:dyDescent="0.3">
      <c r="A27" s="31" t="s">
        <v>289</v>
      </c>
      <c r="B27" s="40">
        <v>18</v>
      </c>
      <c r="C27" s="37" t="s">
        <v>259</v>
      </c>
      <c r="D27" s="222">
        <v>0</v>
      </c>
      <c r="E27" s="397">
        <f t="shared" si="1"/>
        <v>0</v>
      </c>
      <c r="F27" s="222">
        <v>0</v>
      </c>
      <c r="G27" s="222">
        <v>0</v>
      </c>
      <c r="H27" s="223">
        <v>0</v>
      </c>
    </row>
    <row r="28" spans="1:8" ht="26.1" customHeight="1" x14ac:dyDescent="0.3">
      <c r="A28" s="31" t="s">
        <v>290</v>
      </c>
      <c r="B28" s="40">
        <v>19</v>
      </c>
      <c r="C28" s="37" t="s">
        <v>260</v>
      </c>
      <c r="D28" s="222">
        <v>0</v>
      </c>
      <c r="E28" s="397">
        <f t="shared" si="1"/>
        <v>0</v>
      </c>
      <c r="F28" s="222">
        <v>0</v>
      </c>
      <c r="G28" s="222">
        <v>0</v>
      </c>
      <c r="H28" s="223">
        <v>0</v>
      </c>
    </row>
    <row r="29" spans="1:8" ht="26.1" customHeight="1" x14ac:dyDescent="0.3">
      <c r="A29" s="31" t="s">
        <v>291</v>
      </c>
      <c r="B29" s="40">
        <v>20</v>
      </c>
      <c r="C29" s="37" t="s">
        <v>261</v>
      </c>
      <c r="D29" s="222">
        <v>0</v>
      </c>
      <c r="E29" s="397">
        <f t="shared" si="1"/>
        <v>0</v>
      </c>
      <c r="F29" s="222">
        <v>0</v>
      </c>
      <c r="G29" s="222">
        <v>0</v>
      </c>
      <c r="H29" s="223">
        <v>0</v>
      </c>
    </row>
    <row r="30" spans="1:8" ht="26.1" customHeight="1" x14ac:dyDescent="0.3">
      <c r="A30" s="31" t="s">
        <v>292</v>
      </c>
      <c r="B30" s="40">
        <v>21</v>
      </c>
      <c r="C30" s="37" t="s">
        <v>262</v>
      </c>
      <c r="D30" s="222">
        <v>0</v>
      </c>
      <c r="E30" s="397">
        <f t="shared" si="1"/>
        <v>0</v>
      </c>
      <c r="F30" s="222">
        <v>0</v>
      </c>
      <c r="G30" s="222">
        <v>0</v>
      </c>
      <c r="H30" s="223">
        <v>0</v>
      </c>
    </row>
    <row r="31" spans="1:8" ht="72.599999999999994" customHeight="1" x14ac:dyDescent="0.3">
      <c r="A31" s="31" t="s">
        <v>293</v>
      </c>
      <c r="B31" s="40">
        <v>22</v>
      </c>
      <c r="C31" s="37" t="s">
        <v>263</v>
      </c>
      <c r="D31" s="222">
        <v>0</v>
      </c>
      <c r="E31" s="397">
        <f t="shared" si="1"/>
        <v>0</v>
      </c>
      <c r="F31" s="222">
        <v>0</v>
      </c>
      <c r="G31" s="222">
        <v>0</v>
      </c>
      <c r="H31" s="223">
        <v>0</v>
      </c>
    </row>
    <row r="32" spans="1:8" ht="36" customHeight="1" x14ac:dyDescent="0.3">
      <c r="A32" s="31" t="s">
        <v>294</v>
      </c>
      <c r="B32" s="40">
        <v>23</v>
      </c>
      <c r="C32" s="37" t="s">
        <v>264</v>
      </c>
      <c r="D32" s="222">
        <v>0</v>
      </c>
      <c r="E32" s="397">
        <f t="shared" si="1"/>
        <v>0</v>
      </c>
      <c r="F32" s="222">
        <v>0</v>
      </c>
      <c r="G32" s="222">
        <v>0</v>
      </c>
      <c r="H32" s="223">
        <v>0</v>
      </c>
    </row>
    <row r="33" spans="1:8" ht="36" customHeight="1" x14ac:dyDescent="0.3">
      <c r="A33" s="31" t="s">
        <v>295</v>
      </c>
      <c r="B33" s="40">
        <v>24</v>
      </c>
      <c r="C33" s="37" t="s">
        <v>265</v>
      </c>
      <c r="D33" s="222">
        <v>0</v>
      </c>
      <c r="E33" s="397">
        <f t="shared" si="1"/>
        <v>0</v>
      </c>
      <c r="F33" s="222">
        <v>0</v>
      </c>
      <c r="G33" s="222">
        <v>0</v>
      </c>
      <c r="H33" s="223">
        <v>0</v>
      </c>
    </row>
    <row r="34" spans="1:8" ht="54" customHeight="1" x14ac:dyDescent="0.3">
      <c r="A34" s="31" t="s">
        <v>296</v>
      </c>
      <c r="B34" s="40">
        <v>25</v>
      </c>
      <c r="C34" s="37" t="s">
        <v>266</v>
      </c>
      <c r="D34" s="222">
        <v>0</v>
      </c>
      <c r="E34" s="397">
        <f t="shared" si="1"/>
        <v>0</v>
      </c>
      <c r="F34" s="222">
        <v>0</v>
      </c>
      <c r="G34" s="222">
        <v>0</v>
      </c>
      <c r="H34" s="223">
        <v>0</v>
      </c>
    </row>
    <row r="35" spans="1:8" ht="56.25" x14ac:dyDescent="0.3">
      <c r="A35" s="31" t="s">
        <v>297</v>
      </c>
      <c r="B35" s="40">
        <v>26</v>
      </c>
      <c r="C35" s="37" t="s">
        <v>267</v>
      </c>
      <c r="D35" s="222">
        <v>0</v>
      </c>
      <c r="E35" s="397">
        <f t="shared" si="1"/>
        <v>0</v>
      </c>
      <c r="F35" s="222">
        <v>0</v>
      </c>
      <c r="G35" s="222">
        <v>0</v>
      </c>
      <c r="H35" s="223">
        <v>0</v>
      </c>
    </row>
    <row r="36" spans="1:8" ht="50.45" customHeight="1" x14ac:dyDescent="0.3">
      <c r="A36" s="31" t="s">
        <v>298</v>
      </c>
      <c r="B36" s="40">
        <v>27</v>
      </c>
      <c r="C36" s="37" t="s">
        <v>268</v>
      </c>
      <c r="D36" s="222">
        <v>0</v>
      </c>
      <c r="E36" s="397">
        <f t="shared" si="1"/>
        <v>0</v>
      </c>
      <c r="F36" s="222">
        <v>0</v>
      </c>
      <c r="G36" s="222">
        <v>0</v>
      </c>
      <c r="H36" s="223">
        <v>0</v>
      </c>
    </row>
    <row r="37" spans="1:8" ht="60.6" customHeight="1" x14ac:dyDescent="0.3">
      <c r="A37" s="31" t="s">
        <v>299</v>
      </c>
      <c r="B37" s="40">
        <v>28</v>
      </c>
      <c r="C37" s="37" t="s">
        <v>576</v>
      </c>
      <c r="D37" s="222">
        <v>0</v>
      </c>
      <c r="E37" s="397">
        <f t="shared" si="1"/>
        <v>0</v>
      </c>
      <c r="F37" s="222">
        <v>0</v>
      </c>
      <c r="G37" s="222">
        <v>0</v>
      </c>
      <c r="H37" s="222">
        <v>0</v>
      </c>
    </row>
    <row r="38" spans="1:8" ht="95.45" customHeight="1" x14ac:dyDescent="0.3">
      <c r="A38" s="31" t="s">
        <v>579</v>
      </c>
      <c r="B38" s="40">
        <v>29</v>
      </c>
      <c r="C38" s="37" t="s">
        <v>577</v>
      </c>
      <c r="D38" s="222">
        <v>0</v>
      </c>
      <c r="E38" s="397">
        <f t="shared" ref="E38:E39" si="2">F38+G38+H38</f>
        <v>0</v>
      </c>
      <c r="F38" s="222">
        <v>0</v>
      </c>
      <c r="G38" s="222">
        <v>0</v>
      </c>
      <c r="H38" s="222">
        <v>0</v>
      </c>
    </row>
    <row r="39" spans="1:8" ht="99" customHeight="1" x14ac:dyDescent="0.3">
      <c r="A39" s="31" t="s">
        <v>580</v>
      </c>
      <c r="B39" s="40">
        <v>30</v>
      </c>
      <c r="C39" s="37" t="s">
        <v>578</v>
      </c>
      <c r="D39" s="222">
        <v>0</v>
      </c>
      <c r="E39" s="397">
        <f t="shared" si="2"/>
        <v>0</v>
      </c>
      <c r="F39" s="222">
        <v>0</v>
      </c>
      <c r="G39" s="222">
        <v>0</v>
      </c>
      <c r="H39" s="222">
        <v>0</v>
      </c>
    </row>
    <row r="40" spans="1:8" ht="112.5" x14ac:dyDescent="0.3">
      <c r="A40" s="221" t="s">
        <v>582</v>
      </c>
      <c r="B40" s="40">
        <v>31</v>
      </c>
      <c r="C40" s="37" t="s">
        <v>581</v>
      </c>
      <c r="D40" s="222">
        <v>0</v>
      </c>
      <c r="E40" s="397">
        <f t="shared" ref="E40" si="3">F40+G40+H40</f>
        <v>0</v>
      </c>
      <c r="F40" s="222">
        <v>0</v>
      </c>
      <c r="G40" s="222">
        <v>0</v>
      </c>
      <c r="H40" s="222">
        <v>0</v>
      </c>
    </row>
    <row r="41" spans="1:8" x14ac:dyDescent="0.25">
      <c r="A41" s="147"/>
      <c r="B41" s="147"/>
      <c r="C41" s="147"/>
      <c r="D41" s="147"/>
      <c r="E41" s="147"/>
      <c r="F41" s="147"/>
      <c r="G41" s="147"/>
      <c r="H41" s="147"/>
    </row>
    <row r="42" spans="1:8" x14ac:dyDescent="0.25">
      <c r="A42" s="147"/>
      <c r="B42" s="147"/>
      <c r="C42" s="147"/>
      <c r="D42" s="147"/>
      <c r="E42" s="147"/>
      <c r="F42" s="147"/>
      <c r="G42" s="147"/>
      <c r="H42" s="147"/>
    </row>
    <row r="43" spans="1:8" x14ac:dyDescent="0.25">
      <c r="A43" s="147"/>
      <c r="B43" s="147"/>
      <c r="C43" s="147"/>
      <c r="D43" s="147"/>
      <c r="E43" s="147"/>
      <c r="F43" s="147"/>
      <c r="G43" s="147"/>
      <c r="H43" s="147"/>
    </row>
    <row r="44" spans="1:8" x14ac:dyDescent="0.25">
      <c r="A44" s="147"/>
      <c r="B44" s="147"/>
      <c r="C44" s="147"/>
      <c r="D44" s="147"/>
      <c r="E44" s="147"/>
      <c r="F44" s="147"/>
      <c r="G44" s="147"/>
      <c r="H44" s="147"/>
    </row>
    <row r="45" spans="1:8" x14ac:dyDescent="0.25">
      <c r="A45" s="147"/>
      <c r="B45" s="147"/>
      <c r="C45" s="147"/>
      <c r="D45" s="147"/>
      <c r="E45" s="147"/>
      <c r="F45" s="147"/>
      <c r="G45" s="147"/>
      <c r="H45" s="147"/>
    </row>
    <row r="46" spans="1:8" x14ac:dyDescent="0.25">
      <c r="A46" s="147"/>
      <c r="B46" s="147"/>
      <c r="C46" s="147"/>
      <c r="D46" s="147"/>
      <c r="E46" s="147"/>
      <c r="F46" s="147"/>
      <c r="G46" s="147"/>
      <c r="H46" s="147"/>
    </row>
    <row r="47" spans="1:8" x14ac:dyDescent="0.25">
      <c r="A47" s="147"/>
      <c r="B47" s="147"/>
      <c r="C47" s="147"/>
      <c r="D47" s="147"/>
      <c r="E47" s="147"/>
      <c r="F47" s="147"/>
      <c r="G47" s="147"/>
      <c r="H47" s="147"/>
    </row>
    <row r="48" spans="1:8" x14ac:dyDescent="0.25">
      <c r="A48" s="147"/>
      <c r="B48" s="147"/>
      <c r="C48" s="147"/>
      <c r="D48" s="147"/>
      <c r="E48" s="147"/>
      <c r="F48" s="147"/>
      <c r="G48" s="147"/>
      <c r="H48" s="147"/>
    </row>
    <row r="49" spans="1:8" x14ac:dyDescent="0.25">
      <c r="A49" s="147"/>
      <c r="B49" s="147"/>
      <c r="C49" s="147"/>
      <c r="D49" s="147"/>
      <c r="E49" s="147"/>
      <c r="F49" s="147"/>
      <c r="G49" s="147"/>
      <c r="H49" s="147"/>
    </row>
    <row r="50" spans="1:8" x14ac:dyDescent="0.25">
      <c r="A50" s="147"/>
      <c r="B50" s="147"/>
      <c r="C50" s="147"/>
      <c r="D50" s="147"/>
      <c r="E50" s="147"/>
      <c r="F50" s="147"/>
      <c r="G50" s="147"/>
      <c r="H50" s="147"/>
    </row>
    <row r="51" spans="1:8" x14ac:dyDescent="0.25">
      <c r="A51" s="147"/>
      <c r="B51" s="147"/>
      <c r="C51" s="147"/>
      <c r="D51" s="147"/>
      <c r="E51" s="147"/>
      <c r="F51" s="147"/>
      <c r="G51" s="147"/>
      <c r="H51" s="147"/>
    </row>
    <row r="52" spans="1:8" x14ac:dyDescent="0.25">
      <c r="A52" s="147"/>
      <c r="B52" s="147"/>
      <c r="C52" s="147"/>
      <c r="D52" s="147"/>
      <c r="E52" s="147"/>
      <c r="F52" s="147"/>
      <c r="G52" s="147"/>
      <c r="H52" s="147"/>
    </row>
    <row r="53" spans="1:8" x14ac:dyDescent="0.25">
      <c r="A53" s="147"/>
      <c r="B53" s="147"/>
      <c r="C53" s="147"/>
      <c r="D53" s="147"/>
      <c r="E53" s="147"/>
      <c r="F53" s="147"/>
      <c r="G53" s="147"/>
      <c r="H53" s="147"/>
    </row>
    <row r="54" spans="1:8" x14ac:dyDescent="0.25">
      <c r="A54" s="147"/>
      <c r="B54" s="147"/>
      <c r="C54" s="147"/>
      <c r="D54" s="147"/>
      <c r="E54" s="147"/>
      <c r="F54" s="147"/>
      <c r="G54" s="147"/>
      <c r="H54" s="147"/>
    </row>
    <row r="55" spans="1:8" x14ac:dyDescent="0.25">
      <c r="A55" s="147"/>
      <c r="B55" s="147"/>
      <c r="C55" s="147"/>
      <c r="D55" s="147"/>
      <c r="E55" s="147"/>
      <c r="F55" s="147"/>
      <c r="G55" s="147"/>
      <c r="H55" s="147"/>
    </row>
    <row r="56" spans="1:8" x14ac:dyDescent="0.25">
      <c r="A56" s="147"/>
      <c r="B56" s="147"/>
      <c r="C56" s="147"/>
      <c r="D56" s="147"/>
      <c r="E56" s="147"/>
      <c r="F56" s="147"/>
      <c r="G56" s="147"/>
      <c r="H56" s="147"/>
    </row>
    <row r="57" spans="1:8" x14ac:dyDescent="0.25">
      <c r="A57" s="147"/>
      <c r="B57" s="147"/>
      <c r="C57" s="147"/>
      <c r="D57" s="147"/>
      <c r="E57" s="147"/>
      <c r="F57" s="147"/>
      <c r="G57" s="147"/>
      <c r="H57" s="147"/>
    </row>
    <row r="58" spans="1:8" x14ac:dyDescent="0.25">
      <c r="A58" s="147"/>
      <c r="B58" s="147"/>
      <c r="C58" s="147"/>
      <c r="D58" s="147"/>
      <c r="E58" s="147"/>
      <c r="F58" s="147"/>
      <c r="G58" s="147"/>
      <c r="H58" s="147"/>
    </row>
    <row r="59" spans="1:8" x14ac:dyDescent="0.25">
      <c r="A59" s="147"/>
      <c r="B59" s="147"/>
      <c r="C59" s="147"/>
      <c r="D59" s="147"/>
      <c r="E59" s="147"/>
      <c r="F59" s="147"/>
      <c r="G59" s="147"/>
      <c r="H59" s="147"/>
    </row>
    <row r="60" spans="1:8" x14ac:dyDescent="0.25">
      <c r="A60" s="147"/>
      <c r="B60" s="147"/>
      <c r="C60" s="147"/>
      <c r="D60" s="147"/>
      <c r="E60" s="147"/>
      <c r="F60" s="147"/>
      <c r="G60" s="147"/>
      <c r="H60" s="147"/>
    </row>
    <row r="61" spans="1:8" x14ac:dyDescent="0.25">
      <c r="A61" s="147"/>
      <c r="B61" s="147"/>
      <c r="C61" s="147"/>
      <c r="D61" s="147"/>
      <c r="E61" s="147"/>
      <c r="F61" s="147"/>
      <c r="G61" s="147"/>
      <c r="H61" s="147"/>
    </row>
    <row r="62" spans="1:8" x14ac:dyDescent="0.25">
      <c r="A62" s="147"/>
      <c r="B62" s="147"/>
      <c r="C62" s="147"/>
      <c r="D62" s="147"/>
      <c r="E62" s="147"/>
      <c r="F62" s="147"/>
      <c r="G62" s="147"/>
      <c r="H62" s="147"/>
    </row>
    <row r="63" spans="1:8" x14ac:dyDescent="0.25">
      <c r="A63" s="147"/>
      <c r="B63" s="147"/>
      <c r="C63" s="147"/>
      <c r="D63" s="147"/>
      <c r="E63" s="147"/>
      <c r="F63" s="147"/>
      <c r="G63" s="147"/>
      <c r="H63" s="147"/>
    </row>
    <row r="64" spans="1:8" x14ac:dyDescent="0.25">
      <c r="A64" s="147"/>
      <c r="B64" s="147"/>
      <c r="C64" s="147"/>
      <c r="D64" s="147"/>
      <c r="E64" s="147"/>
      <c r="F64" s="147"/>
      <c r="G64" s="147"/>
      <c r="H64" s="147"/>
    </row>
    <row r="65" spans="1:8" x14ac:dyDescent="0.25">
      <c r="A65" s="147"/>
      <c r="B65" s="147"/>
      <c r="C65" s="147"/>
      <c r="D65" s="147"/>
      <c r="E65" s="147"/>
      <c r="F65" s="147"/>
      <c r="G65" s="147"/>
      <c r="H65" s="147"/>
    </row>
    <row r="66" spans="1:8" x14ac:dyDescent="0.25">
      <c r="A66" s="147"/>
      <c r="B66" s="147"/>
      <c r="C66" s="147"/>
      <c r="D66" s="147"/>
      <c r="E66" s="147"/>
      <c r="F66" s="147"/>
      <c r="G66" s="147"/>
      <c r="H66" s="147"/>
    </row>
    <row r="67" spans="1:8" x14ac:dyDescent="0.25">
      <c r="A67" s="147"/>
      <c r="B67" s="147"/>
      <c r="C67" s="147"/>
      <c r="D67" s="147"/>
      <c r="E67" s="147"/>
      <c r="F67" s="147"/>
      <c r="G67" s="147"/>
      <c r="H67" s="147"/>
    </row>
    <row r="68" spans="1:8" x14ac:dyDescent="0.25">
      <c r="A68" s="147"/>
      <c r="B68" s="147"/>
      <c r="C68" s="147"/>
      <c r="D68" s="147"/>
      <c r="E68" s="147"/>
      <c r="F68" s="147"/>
      <c r="G68" s="147"/>
      <c r="H68" s="147"/>
    </row>
    <row r="69" spans="1:8" x14ac:dyDescent="0.25">
      <c r="A69" s="147"/>
      <c r="B69" s="147"/>
      <c r="C69" s="147"/>
      <c r="D69" s="147"/>
      <c r="E69" s="147"/>
      <c r="F69" s="147"/>
      <c r="G69" s="147"/>
      <c r="H69" s="147"/>
    </row>
    <row r="70" spans="1:8" x14ac:dyDescent="0.25">
      <c r="A70" s="147"/>
      <c r="B70" s="147"/>
      <c r="C70" s="147"/>
      <c r="D70" s="147"/>
      <c r="E70" s="147"/>
      <c r="F70" s="147"/>
      <c r="G70" s="147"/>
      <c r="H70" s="147"/>
    </row>
    <row r="71" spans="1:8" x14ac:dyDescent="0.25">
      <c r="A71" s="147"/>
      <c r="B71" s="147"/>
      <c r="C71" s="147"/>
      <c r="D71" s="147"/>
      <c r="E71" s="147"/>
      <c r="F71" s="147"/>
      <c r="G71" s="147"/>
      <c r="H71" s="147"/>
    </row>
    <row r="72" spans="1:8" x14ac:dyDescent="0.25">
      <c r="A72" s="147"/>
      <c r="B72" s="147"/>
      <c r="C72" s="147"/>
      <c r="D72" s="147"/>
      <c r="E72" s="147"/>
      <c r="F72" s="147"/>
      <c r="G72" s="147"/>
      <c r="H72" s="147"/>
    </row>
    <row r="73" spans="1:8" x14ac:dyDescent="0.25">
      <c r="A73" s="147"/>
      <c r="B73" s="147"/>
      <c r="C73" s="147"/>
      <c r="D73" s="147"/>
      <c r="E73" s="147"/>
      <c r="F73" s="147"/>
      <c r="G73" s="147"/>
      <c r="H73" s="147"/>
    </row>
    <row r="74" spans="1:8" x14ac:dyDescent="0.25">
      <c r="A74" s="147"/>
      <c r="B74" s="147"/>
      <c r="C74" s="147"/>
      <c r="D74" s="147"/>
      <c r="E74" s="147"/>
      <c r="F74" s="147"/>
      <c r="G74" s="147"/>
      <c r="H74" s="147"/>
    </row>
    <row r="75" spans="1:8" x14ac:dyDescent="0.25">
      <c r="A75" s="147"/>
      <c r="B75" s="147"/>
      <c r="C75" s="147"/>
      <c r="D75" s="147"/>
      <c r="E75" s="147"/>
      <c r="F75" s="147"/>
      <c r="G75" s="147"/>
      <c r="H75" s="147"/>
    </row>
    <row r="76" spans="1:8" x14ac:dyDescent="0.25">
      <c r="A76" s="147"/>
      <c r="B76" s="147"/>
      <c r="C76" s="147"/>
      <c r="D76" s="147"/>
      <c r="E76" s="147"/>
      <c r="F76" s="147"/>
      <c r="G76" s="147"/>
      <c r="H76" s="147"/>
    </row>
    <row r="77" spans="1:8" x14ac:dyDescent="0.25">
      <c r="A77" s="147"/>
      <c r="B77" s="147"/>
      <c r="C77" s="147"/>
      <c r="D77" s="147"/>
      <c r="E77" s="147"/>
      <c r="F77" s="147"/>
      <c r="G77" s="147"/>
      <c r="H77" s="147"/>
    </row>
    <row r="78" spans="1:8" x14ac:dyDescent="0.25">
      <c r="A78" s="147"/>
      <c r="B78" s="147"/>
      <c r="C78" s="147"/>
      <c r="D78" s="147"/>
      <c r="E78" s="147"/>
      <c r="F78" s="147"/>
      <c r="G78" s="147"/>
      <c r="H78" s="147"/>
    </row>
    <row r="79" spans="1:8" x14ac:dyDescent="0.25">
      <c r="A79" s="147"/>
      <c r="B79" s="147"/>
      <c r="C79" s="147"/>
      <c r="D79" s="147"/>
      <c r="E79" s="147"/>
      <c r="F79" s="147"/>
      <c r="G79" s="147"/>
      <c r="H79" s="147"/>
    </row>
    <row r="80" spans="1:8" x14ac:dyDescent="0.25">
      <c r="A80" s="147"/>
      <c r="B80" s="147"/>
      <c r="C80" s="147"/>
      <c r="D80" s="147"/>
      <c r="E80" s="147"/>
      <c r="F80" s="147"/>
      <c r="G80" s="147"/>
      <c r="H80" s="147"/>
    </row>
    <row r="81" spans="1:8" x14ac:dyDescent="0.25">
      <c r="A81" s="147"/>
      <c r="B81" s="147"/>
      <c r="C81" s="147"/>
      <c r="D81" s="147"/>
      <c r="E81" s="147"/>
      <c r="F81" s="147"/>
      <c r="G81" s="147"/>
      <c r="H81" s="147"/>
    </row>
    <row r="82" spans="1:8" x14ac:dyDescent="0.25">
      <c r="A82" s="147"/>
      <c r="B82" s="147"/>
      <c r="C82" s="147"/>
      <c r="D82" s="147"/>
      <c r="E82" s="147"/>
      <c r="F82" s="147"/>
      <c r="G82" s="147"/>
      <c r="H82" s="147"/>
    </row>
    <row r="83" spans="1:8" x14ac:dyDescent="0.25">
      <c r="A83" s="147"/>
      <c r="B83" s="147"/>
      <c r="C83" s="147"/>
      <c r="D83" s="147"/>
      <c r="E83" s="147"/>
      <c r="F83" s="147"/>
      <c r="G83" s="147"/>
      <c r="H83" s="147"/>
    </row>
    <row r="84" spans="1:8" x14ac:dyDescent="0.25">
      <c r="A84" s="147"/>
      <c r="B84" s="147"/>
      <c r="C84" s="147"/>
      <c r="D84" s="147"/>
      <c r="E84" s="147"/>
      <c r="F84" s="147"/>
      <c r="G84" s="147"/>
      <c r="H84" s="147"/>
    </row>
    <row r="85" spans="1:8" x14ac:dyDescent="0.25">
      <c r="A85" s="147"/>
      <c r="B85" s="147"/>
      <c r="C85" s="147"/>
      <c r="D85" s="147"/>
      <c r="E85" s="147"/>
      <c r="F85" s="147"/>
      <c r="G85" s="147"/>
      <c r="H85" s="147"/>
    </row>
    <row r="86" spans="1:8" x14ac:dyDescent="0.25">
      <c r="A86" s="147"/>
      <c r="B86" s="147"/>
      <c r="C86" s="147"/>
      <c r="D86" s="147"/>
      <c r="E86" s="147"/>
      <c r="F86" s="147"/>
      <c r="G86" s="147"/>
      <c r="H86" s="147"/>
    </row>
    <row r="87" spans="1:8" x14ac:dyDescent="0.25">
      <c r="A87" s="147"/>
      <c r="B87" s="147"/>
      <c r="C87" s="147"/>
      <c r="D87" s="147"/>
      <c r="E87" s="147"/>
      <c r="F87" s="147"/>
      <c r="G87" s="147"/>
      <c r="H87" s="147"/>
    </row>
    <row r="88" spans="1:8" x14ac:dyDescent="0.25">
      <c r="A88" s="147"/>
      <c r="B88" s="147"/>
      <c r="C88" s="147"/>
      <c r="D88" s="147"/>
      <c r="E88" s="147"/>
      <c r="F88" s="147"/>
      <c r="G88" s="147"/>
      <c r="H88" s="147"/>
    </row>
    <row r="89" spans="1:8" x14ac:dyDescent="0.25">
      <c r="A89" s="147"/>
      <c r="B89" s="147"/>
      <c r="C89" s="147"/>
      <c r="D89" s="147"/>
      <c r="E89" s="147"/>
      <c r="F89" s="147"/>
      <c r="G89" s="147"/>
      <c r="H89" s="147"/>
    </row>
    <row r="90" spans="1:8" x14ac:dyDescent="0.25">
      <c r="A90" s="147"/>
      <c r="B90" s="147"/>
      <c r="C90" s="147"/>
      <c r="D90" s="147"/>
      <c r="E90" s="147"/>
      <c r="F90" s="147"/>
      <c r="G90" s="147"/>
      <c r="H90" s="147"/>
    </row>
    <row r="91" spans="1:8" x14ac:dyDescent="0.25">
      <c r="A91" s="147"/>
      <c r="B91" s="147"/>
      <c r="C91" s="147"/>
      <c r="D91" s="147"/>
      <c r="E91" s="147"/>
      <c r="F91" s="147"/>
      <c r="G91" s="147"/>
      <c r="H91" s="147"/>
    </row>
  </sheetData>
  <sheetProtection password="FB6B" sheet="1" formatCells="0" formatColumns="0" formatRows="0"/>
  <mergeCells count="12">
    <mergeCell ref="D1:E1"/>
    <mergeCell ref="F1:G1"/>
    <mergeCell ref="F2:H2"/>
    <mergeCell ref="A3:H3"/>
    <mergeCell ref="A5:A7"/>
    <mergeCell ref="F5:F7"/>
    <mergeCell ref="G5:G7"/>
    <mergeCell ref="H5:H7"/>
    <mergeCell ref="E5:E7"/>
    <mergeCell ref="B5:B7"/>
    <mergeCell ref="C5:C7"/>
    <mergeCell ref="D5:D7"/>
  </mergeCells>
  <pageMargins left="0.11811023622047245" right="0.11811023622047245" top="0.15748031496062992" bottom="0.15748031496062992" header="0.31496062992125984" footer="0.31496062992125984"/>
  <pageSetup paperSize="9" scale="60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Аркуш4">
    <tabColor rgb="FF92D050"/>
  </sheetPr>
  <dimension ref="A1:Y178"/>
  <sheetViews>
    <sheetView view="pageBreakPreview" zoomScale="60" zoomScaleNormal="70" workbookViewId="0">
      <selection activeCell="D11" sqref="D11"/>
    </sheetView>
  </sheetViews>
  <sheetFormatPr defaultColWidth="9.140625" defaultRowHeight="15" x14ac:dyDescent="0.25"/>
  <cols>
    <col min="1" max="1" width="9.140625" style="10"/>
    <col min="2" max="2" width="9.85546875" style="10" customWidth="1"/>
    <col min="3" max="3" width="77.5703125" style="10" customWidth="1"/>
    <col min="4" max="4" width="19.140625" style="10" customWidth="1"/>
    <col min="5" max="5" width="18.140625" style="10" customWidth="1"/>
    <col min="6" max="25" width="9.140625" style="127"/>
    <col min="26" max="16384" width="9.140625" style="10"/>
  </cols>
  <sheetData>
    <row r="1" spans="1:25" ht="33" customHeight="1" x14ac:dyDescent="0.25">
      <c r="A1" s="1182" t="s">
        <v>0</v>
      </c>
      <c r="B1" s="1184"/>
      <c r="C1" s="136">
        <f>'Звіт 1,2,3'!D1</f>
        <v>37650571</v>
      </c>
      <c r="D1" s="3" t="s">
        <v>1</v>
      </c>
      <c r="E1" s="120">
        <f>'Звіт 1,2,3'!H1</f>
        <v>150</v>
      </c>
    </row>
    <row r="2" spans="1:25" ht="50.1" customHeight="1" x14ac:dyDescent="0.25">
      <c r="C2" s="1442" t="s">
        <v>271</v>
      </c>
      <c r="D2" s="1442"/>
      <c r="E2" s="1442"/>
    </row>
    <row r="3" spans="1:25" ht="18.75" x14ac:dyDescent="0.3">
      <c r="A3" s="1443" t="s">
        <v>337</v>
      </c>
      <c r="B3" s="1443"/>
      <c r="C3" s="1443"/>
      <c r="D3" s="1443"/>
      <c r="E3" s="1443"/>
      <c r="F3" s="129"/>
      <c r="G3" s="129"/>
      <c r="H3" s="129"/>
    </row>
    <row r="4" spans="1:25" ht="18.75" x14ac:dyDescent="0.3">
      <c r="E4" s="39" t="s">
        <v>305</v>
      </c>
    </row>
    <row r="5" spans="1:25" ht="18.75" customHeight="1" x14ac:dyDescent="0.25">
      <c r="A5" s="1303" t="s">
        <v>6</v>
      </c>
      <c r="B5" s="1303" t="s">
        <v>245</v>
      </c>
      <c r="C5" s="1090" t="s">
        <v>7</v>
      </c>
      <c r="D5" s="1438" t="s">
        <v>89</v>
      </c>
      <c r="E5" s="1438" t="s">
        <v>8</v>
      </c>
    </row>
    <row r="6" spans="1:25" ht="18.75" customHeight="1" x14ac:dyDescent="0.25">
      <c r="A6" s="1303"/>
      <c r="B6" s="1303"/>
      <c r="C6" s="1090"/>
      <c r="D6" s="1438"/>
      <c r="E6" s="1438"/>
    </row>
    <row r="7" spans="1:25" ht="14.1" customHeight="1" x14ac:dyDescent="0.25">
      <c r="A7" s="1303"/>
      <c r="B7" s="1303"/>
      <c r="C7" s="1090"/>
      <c r="D7" s="1438"/>
      <c r="E7" s="1438"/>
    </row>
    <row r="8" spans="1:25" ht="15.75" x14ac:dyDescent="0.25">
      <c r="A8" s="226">
        <v>1</v>
      </c>
      <c r="B8" s="47">
        <v>2</v>
      </c>
      <c r="C8" s="47">
        <v>3</v>
      </c>
      <c r="D8" s="47">
        <v>4</v>
      </c>
      <c r="E8" s="47">
        <v>5</v>
      </c>
    </row>
    <row r="9" spans="1:25" ht="29.45" customHeight="1" x14ac:dyDescent="0.3">
      <c r="A9" s="227">
        <v>1</v>
      </c>
      <c r="B9" s="41"/>
      <c r="C9" s="48" t="s">
        <v>272</v>
      </c>
      <c r="D9" s="224">
        <f>SUM(D10:D40)</f>
        <v>2878960.33</v>
      </c>
      <c r="E9" s="224">
        <f>SUM(E10:E40)</f>
        <v>2948311.8400000003</v>
      </c>
    </row>
    <row r="10" spans="1:25" ht="29.45" customHeight="1" x14ac:dyDescent="0.25">
      <c r="A10" s="221" t="s">
        <v>195</v>
      </c>
      <c r="B10" s="40">
        <v>1</v>
      </c>
      <c r="C10" s="38" t="s">
        <v>243</v>
      </c>
      <c r="D10" s="225">
        <v>2878960.33</v>
      </c>
      <c r="E10" s="225">
        <f>1474314.26+492413.46+490909.44+490674.68</f>
        <v>2948311.8400000003</v>
      </c>
    </row>
    <row r="11" spans="1:25" ht="29.45" customHeight="1" x14ac:dyDescent="0.25">
      <c r="A11" s="221" t="s">
        <v>273</v>
      </c>
      <c r="B11" s="40">
        <v>2</v>
      </c>
      <c r="C11" s="38" t="s">
        <v>244</v>
      </c>
      <c r="D11" s="225">
        <v>0</v>
      </c>
      <c r="E11" s="225">
        <v>0</v>
      </c>
    </row>
    <row r="12" spans="1:25" s="36" customFormat="1" ht="29.45" customHeight="1" x14ac:dyDescent="0.25">
      <c r="A12" s="221" t="s">
        <v>274</v>
      </c>
      <c r="B12" s="40">
        <v>3</v>
      </c>
      <c r="C12" s="30" t="s">
        <v>246</v>
      </c>
      <c r="D12" s="235">
        <v>0</v>
      </c>
      <c r="E12" s="235">
        <v>0</v>
      </c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</row>
    <row r="13" spans="1:25" ht="33" customHeight="1" x14ac:dyDescent="0.25">
      <c r="A13" s="221" t="s">
        <v>275</v>
      </c>
      <c r="B13" s="40">
        <v>4</v>
      </c>
      <c r="C13" s="30" t="s">
        <v>247</v>
      </c>
      <c r="D13" s="225">
        <v>0</v>
      </c>
      <c r="E13" s="225">
        <v>0</v>
      </c>
    </row>
    <row r="14" spans="1:25" ht="37.35" customHeight="1" x14ac:dyDescent="0.25">
      <c r="A14" s="221" t="s">
        <v>276</v>
      </c>
      <c r="B14" s="40">
        <v>5</v>
      </c>
      <c r="C14" s="30" t="s">
        <v>248</v>
      </c>
      <c r="D14" s="225">
        <v>0</v>
      </c>
      <c r="E14" s="225">
        <v>0</v>
      </c>
    </row>
    <row r="15" spans="1:25" ht="21" customHeight="1" x14ac:dyDescent="0.25">
      <c r="A15" s="221" t="s">
        <v>277</v>
      </c>
      <c r="B15" s="40">
        <v>6</v>
      </c>
      <c r="C15" s="30" t="s">
        <v>249</v>
      </c>
      <c r="D15" s="225">
        <v>0</v>
      </c>
      <c r="E15" s="225">
        <v>0</v>
      </c>
    </row>
    <row r="16" spans="1:25" ht="21" customHeight="1" x14ac:dyDescent="0.25">
      <c r="A16" s="221" t="s">
        <v>278</v>
      </c>
      <c r="B16" s="40">
        <v>7</v>
      </c>
      <c r="C16" s="30" t="s">
        <v>269</v>
      </c>
      <c r="D16" s="225">
        <v>0</v>
      </c>
      <c r="E16" s="225">
        <v>0</v>
      </c>
    </row>
    <row r="17" spans="1:5" ht="35.450000000000003" customHeight="1" x14ac:dyDescent="0.25">
      <c r="A17" s="221" t="s">
        <v>279</v>
      </c>
      <c r="B17" s="40">
        <v>8</v>
      </c>
      <c r="C17" s="30" t="s">
        <v>270</v>
      </c>
      <c r="D17" s="225">
        <v>0</v>
      </c>
      <c r="E17" s="225">
        <v>0</v>
      </c>
    </row>
    <row r="18" spans="1:5" ht="62.1" customHeight="1" x14ac:dyDescent="0.25">
      <c r="A18" s="221" t="s">
        <v>280</v>
      </c>
      <c r="B18" s="40">
        <v>9</v>
      </c>
      <c r="C18" s="30" t="s">
        <v>250</v>
      </c>
      <c r="D18" s="225">
        <v>0</v>
      </c>
      <c r="E18" s="225">
        <v>0</v>
      </c>
    </row>
    <row r="19" spans="1:5" ht="24" customHeight="1" x14ac:dyDescent="0.25">
      <c r="A19" s="221" t="s">
        <v>281</v>
      </c>
      <c r="B19" s="40">
        <v>10</v>
      </c>
      <c r="C19" s="30" t="s">
        <v>251</v>
      </c>
      <c r="D19" s="225">
        <v>0</v>
      </c>
      <c r="E19" s="225">
        <v>0</v>
      </c>
    </row>
    <row r="20" spans="1:5" ht="24" customHeight="1" x14ac:dyDescent="0.25">
      <c r="A20" s="221" t="s">
        <v>282</v>
      </c>
      <c r="B20" s="40">
        <v>11</v>
      </c>
      <c r="C20" s="30" t="s">
        <v>252</v>
      </c>
      <c r="D20" s="225">
        <v>0</v>
      </c>
      <c r="E20" s="225">
        <v>0</v>
      </c>
    </row>
    <row r="21" spans="1:5" ht="24" customHeight="1" x14ac:dyDescent="0.25">
      <c r="A21" s="221" t="s">
        <v>283</v>
      </c>
      <c r="B21" s="40">
        <v>12</v>
      </c>
      <c r="C21" s="30" t="s">
        <v>253</v>
      </c>
      <c r="D21" s="225">
        <v>0</v>
      </c>
      <c r="E21" s="225">
        <v>0</v>
      </c>
    </row>
    <row r="22" spans="1:5" ht="24" customHeight="1" x14ac:dyDescent="0.25">
      <c r="A22" s="221" t="s">
        <v>284</v>
      </c>
      <c r="B22" s="40">
        <v>13</v>
      </c>
      <c r="C22" s="30" t="s">
        <v>254</v>
      </c>
      <c r="D22" s="225">
        <v>0</v>
      </c>
      <c r="E22" s="225">
        <v>0</v>
      </c>
    </row>
    <row r="23" spans="1:5" ht="24" customHeight="1" x14ac:dyDescent="0.25">
      <c r="A23" s="221" t="s">
        <v>285</v>
      </c>
      <c r="B23" s="40">
        <v>14</v>
      </c>
      <c r="C23" s="30" t="s">
        <v>255</v>
      </c>
      <c r="D23" s="225">
        <v>0</v>
      </c>
      <c r="E23" s="225">
        <v>0</v>
      </c>
    </row>
    <row r="24" spans="1:5" ht="24" customHeight="1" x14ac:dyDescent="0.25">
      <c r="A24" s="221" t="s">
        <v>286</v>
      </c>
      <c r="B24" s="40">
        <v>15</v>
      </c>
      <c r="C24" s="30" t="s">
        <v>256</v>
      </c>
      <c r="D24" s="225">
        <v>0</v>
      </c>
      <c r="E24" s="225">
        <v>0</v>
      </c>
    </row>
    <row r="25" spans="1:5" ht="33.6" customHeight="1" x14ac:dyDescent="0.25">
      <c r="A25" s="221" t="s">
        <v>287</v>
      </c>
      <c r="B25" s="40">
        <v>16</v>
      </c>
      <c r="C25" s="30" t="s">
        <v>257</v>
      </c>
      <c r="D25" s="225">
        <v>0</v>
      </c>
      <c r="E25" s="225">
        <v>0</v>
      </c>
    </row>
    <row r="26" spans="1:5" ht="33.6" customHeight="1" x14ac:dyDescent="0.25">
      <c r="A26" s="221" t="s">
        <v>288</v>
      </c>
      <c r="B26" s="40">
        <v>17</v>
      </c>
      <c r="C26" s="37" t="s">
        <v>258</v>
      </c>
      <c r="D26" s="225">
        <v>0</v>
      </c>
      <c r="E26" s="225">
        <v>0</v>
      </c>
    </row>
    <row r="27" spans="1:5" ht="33.6" customHeight="1" x14ac:dyDescent="0.25">
      <c r="A27" s="221" t="s">
        <v>289</v>
      </c>
      <c r="B27" s="40">
        <v>18</v>
      </c>
      <c r="C27" s="37" t="s">
        <v>259</v>
      </c>
      <c r="D27" s="225">
        <v>0</v>
      </c>
      <c r="E27" s="225">
        <v>0</v>
      </c>
    </row>
    <row r="28" spans="1:5" ht="26.45" customHeight="1" x14ac:dyDescent="0.25">
      <c r="A28" s="221" t="s">
        <v>290</v>
      </c>
      <c r="B28" s="40">
        <v>19</v>
      </c>
      <c r="C28" s="37" t="s">
        <v>260</v>
      </c>
      <c r="D28" s="225">
        <v>0</v>
      </c>
      <c r="E28" s="225">
        <v>0</v>
      </c>
    </row>
    <row r="29" spans="1:5" ht="26.45" customHeight="1" x14ac:dyDescent="0.25">
      <c r="A29" s="221" t="s">
        <v>291</v>
      </c>
      <c r="B29" s="40">
        <v>20</v>
      </c>
      <c r="C29" s="37" t="s">
        <v>261</v>
      </c>
      <c r="D29" s="225">
        <v>0</v>
      </c>
      <c r="E29" s="225">
        <v>0</v>
      </c>
    </row>
    <row r="30" spans="1:5" ht="26.45" customHeight="1" x14ac:dyDescent="0.25">
      <c r="A30" s="221" t="s">
        <v>292</v>
      </c>
      <c r="B30" s="40">
        <v>21</v>
      </c>
      <c r="C30" s="37" t="s">
        <v>262</v>
      </c>
      <c r="D30" s="225">
        <v>0</v>
      </c>
      <c r="E30" s="225">
        <v>0</v>
      </c>
    </row>
    <row r="31" spans="1:5" ht="55.7" customHeight="1" x14ac:dyDescent="0.25">
      <c r="A31" s="221" t="s">
        <v>293</v>
      </c>
      <c r="B31" s="40">
        <v>22</v>
      </c>
      <c r="C31" s="37" t="s">
        <v>263</v>
      </c>
      <c r="D31" s="225">
        <v>0</v>
      </c>
      <c r="E31" s="225">
        <v>0</v>
      </c>
    </row>
    <row r="32" spans="1:5" ht="26.1" customHeight="1" x14ac:dyDescent="0.25">
      <c r="A32" s="221" t="s">
        <v>294</v>
      </c>
      <c r="B32" s="40">
        <v>23</v>
      </c>
      <c r="C32" s="37" t="s">
        <v>264</v>
      </c>
      <c r="D32" s="225">
        <v>0</v>
      </c>
      <c r="E32" s="225">
        <v>0</v>
      </c>
    </row>
    <row r="33" spans="1:5" ht="26.1" customHeight="1" x14ac:dyDescent="0.25">
      <c r="A33" s="221" t="s">
        <v>295</v>
      </c>
      <c r="B33" s="40">
        <v>24</v>
      </c>
      <c r="C33" s="37" t="s">
        <v>265</v>
      </c>
      <c r="D33" s="225">
        <v>0</v>
      </c>
      <c r="E33" s="225">
        <v>0</v>
      </c>
    </row>
    <row r="34" spans="1:5" ht="41.45" customHeight="1" x14ac:dyDescent="0.25">
      <c r="A34" s="221" t="s">
        <v>296</v>
      </c>
      <c r="B34" s="40">
        <v>25</v>
      </c>
      <c r="C34" s="37" t="s">
        <v>266</v>
      </c>
      <c r="D34" s="225">
        <v>0</v>
      </c>
      <c r="E34" s="225">
        <v>0</v>
      </c>
    </row>
    <row r="35" spans="1:5" ht="33.6" customHeight="1" x14ac:dyDescent="0.25">
      <c r="A35" s="221" t="s">
        <v>297</v>
      </c>
      <c r="B35" s="40">
        <v>26</v>
      </c>
      <c r="C35" s="37" t="s">
        <v>267</v>
      </c>
      <c r="D35" s="225">
        <v>0</v>
      </c>
      <c r="E35" s="225">
        <v>0</v>
      </c>
    </row>
    <row r="36" spans="1:5" ht="40.35" customHeight="1" x14ac:dyDescent="0.25">
      <c r="A36" s="221" t="s">
        <v>298</v>
      </c>
      <c r="B36" s="40">
        <v>27</v>
      </c>
      <c r="C36" s="37" t="s">
        <v>268</v>
      </c>
      <c r="D36" s="225">
        <v>0</v>
      </c>
      <c r="E36" s="225">
        <v>0</v>
      </c>
    </row>
    <row r="37" spans="1:5" ht="63" customHeight="1" x14ac:dyDescent="0.25">
      <c r="A37" s="221" t="s">
        <v>299</v>
      </c>
      <c r="B37" s="40">
        <v>28</v>
      </c>
      <c r="C37" s="37" t="str">
        <f>'Дод_Надходж ПМГ '!C37</f>
        <v>Стаціонарна допомога пацієнтам з гострою респіраторною хворобою COVID-19, спричиненою коронавірусом SARS-CoV-2</v>
      </c>
      <c r="D37" s="225">
        <v>0</v>
      </c>
      <c r="E37" s="225">
        <v>0</v>
      </c>
    </row>
    <row r="38" spans="1:5" s="127" customFormat="1" ht="63" customHeight="1" x14ac:dyDescent="0.25">
      <c r="A38" s="221" t="s">
        <v>579</v>
      </c>
      <c r="B38" s="40">
        <v>29</v>
      </c>
      <c r="C38" s="37" t="str">
        <f>'Дод_Надходж ПМГ '!C38</f>
        <v>Екстрена медична допомога пацієнтам з підозрою або встановленим захворюванням на гостру респіраторну хворобу COVID-19, спричинену коронавірусом SARS-CoV-2</v>
      </c>
      <c r="D38" s="225">
        <v>0</v>
      </c>
      <c r="E38" s="225">
        <v>0</v>
      </c>
    </row>
    <row r="39" spans="1:5" s="127" customFormat="1" ht="63" customHeight="1" x14ac:dyDescent="0.25">
      <c r="A39" s="221" t="s">
        <v>580</v>
      </c>
      <c r="B39" s="40">
        <v>30</v>
      </c>
      <c r="C39" s="37" t="str">
        <f>'Дод_Надходж ПМГ '!C39</f>
        <v>Медична допомога, яка надається мобільними медичними бригадами, що утворені для реагування на гостру респіраторну хворобу COVID-19, спричинену коронавірусом SARS-CoV-2</v>
      </c>
      <c r="D39" s="225">
        <v>0</v>
      </c>
      <c r="E39" s="225">
        <v>0</v>
      </c>
    </row>
    <row r="40" spans="1:5" s="127" customFormat="1" ht="75" customHeight="1" x14ac:dyDescent="0.25">
      <c r="A40" s="221" t="s">
        <v>582</v>
      </c>
      <c r="B40" s="40">
        <v>31</v>
      </c>
      <c r="C40" s="37" t="str">
        <f>'Дод_Надходж ПМГ '!C40</f>
        <v>Стаціонарна медична допомога пацієнтам з гострою респіраторною хворобою COVID-19, спричиненою коронавірусом SARS-CoV-2, яка надається окремими закладами охорони здоров’я протягом квітня 2020 року</v>
      </c>
      <c r="D40" s="225">
        <v>0</v>
      </c>
      <c r="E40" s="225">
        <v>0</v>
      </c>
    </row>
    <row r="41" spans="1:5" s="127" customFormat="1" x14ac:dyDescent="0.25"/>
    <row r="42" spans="1:5" s="127" customFormat="1" x14ac:dyDescent="0.25"/>
    <row r="43" spans="1:5" s="127" customFormat="1" x14ac:dyDescent="0.25"/>
    <row r="44" spans="1:5" s="127" customFormat="1" x14ac:dyDescent="0.25"/>
    <row r="45" spans="1:5" s="127" customFormat="1" x14ac:dyDescent="0.25"/>
    <row r="46" spans="1:5" s="127" customFormat="1" x14ac:dyDescent="0.25"/>
    <row r="47" spans="1:5" s="127" customFormat="1" x14ac:dyDescent="0.25"/>
    <row r="48" spans="1:5" s="127" customFormat="1" x14ac:dyDescent="0.25"/>
    <row r="49" s="127" customFormat="1" x14ac:dyDescent="0.25"/>
    <row r="50" s="127" customFormat="1" x14ac:dyDescent="0.25"/>
    <row r="51" s="127" customFormat="1" x14ac:dyDescent="0.25"/>
    <row r="52" s="127" customFormat="1" x14ac:dyDescent="0.25"/>
    <row r="53" s="127" customFormat="1" x14ac:dyDescent="0.25"/>
    <row r="54" s="127" customFormat="1" x14ac:dyDescent="0.25"/>
    <row r="55" s="127" customFormat="1" x14ac:dyDescent="0.25"/>
    <row r="56" s="127" customFormat="1" x14ac:dyDescent="0.25"/>
    <row r="57" s="127" customFormat="1" x14ac:dyDescent="0.25"/>
    <row r="58" s="127" customFormat="1" x14ac:dyDescent="0.25"/>
    <row r="59" s="127" customFormat="1" x14ac:dyDescent="0.25"/>
    <row r="60" s="127" customFormat="1" x14ac:dyDescent="0.25"/>
    <row r="61" s="127" customFormat="1" x14ac:dyDescent="0.25"/>
    <row r="62" s="127" customFormat="1" x14ac:dyDescent="0.25"/>
    <row r="63" s="127" customFormat="1" x14ac:dyDescent="0.25"/>
    <row r="64" s="127" customFormat="1" x14ac:dyDescent="0.25"/>
    <row r="65" s="127" customFormat="1" x14ac:dyDescent="0.25"/>
    <row r="66" s="127" customFormat="1" x14ac:dyDescent="0.25"/>
    <row r="67" s="127" customFormat="1" x14ac:dyDescent="0.25"/>
    <row r="68" s="127" customFormat="1" x14ac:dyDescent="0.25"/>
    <row r="69" s="127" customFormat="1" x14ac:dyDescent="0.25"/>
    <row r="70" s="127" customFormat="1" x14ac:dyDescent="0.25"/>
    <row r="71" s="127" customFormat="1" x14ac:dyDescent="0.25"/>
    <row r="72" s="127" customFormat="1" x14ac:dyDescent="0.25"/>
    <row r="73" s="127" customFormat="1" x14ac:dyDescent="0.25"/>
    <row r="74" s="127" customFormat="1" x14ac:dyDescent="0.25"/>
    <row r="75" s="127" customFormat="1" x14ac:dyDescent="0.25"/>
    <row r="76" s="127" customFormat="1" x14ac:dyDescent="0.25"/>
    <row r="77" s="127" customFormat="1" x14ac:dyDescent="0.25"/>
    <row r="78" s="127" customFormat="1" x14ac:dyDescent="0.25"/>
    <row r="79" s="127" customFormat="1" x14ac:dyDescent="0.25"/>
    <row r="80" s="127" customFormat="1" x14ac:dyDescent="0.25"/>
    <row r="81" s="127" customFormat="1" x14ac:dyDescent="0.25"/>
    <row r="82" s="127" customFormat="1" x14ac:dyDescent="0.25"/>
    <row r="83" s="127" customFormat="1" x14ac:dyDescent="0.25"/>
    <row r="84" s="127" customFormat="1" x14ac:dyDescent="0.25"/>
    <row r="85" s="127" customFormat="1" x14ac:dyDescent="0.25"/>
    <row r="86" s="127" customFormat="1" x14ac:dyDescent="0.25"/>
    <row r="87" s="127" customFormat="1" x14ac:dyDescent="0.25"/>
    <row r="88" s="127" customFormat="1" x14ac:dyDescent="0.25"/>
    <row r="89" s="127" customFormat="1" x14ac:dyDescent="0.25"/>
    <row r="90" s="127" customFormat="1" x14ac:dyDescent="0.25"/>
    <row r="91" s="127" customFormat="1" x14ac:dyDescent="0.25"/>
    <row r="92" s="127" customFormat="1" x14ac:dyDescent="0.25"/>
    <row r="93" s="127" customFormat="1" x14ac:dyDescent="0.25"/>
    <row r="94" s="127" customFormat="1" x14ac:dyDescent="0.25"/>
    <row r="95" s="127" customFormat="1" x14ac:dyDescent="0.25"/>
    <row r="96" s="127" customFormat="1" x14ac:dyDescent="0.25"/>
    <row r="97" s="127" customFormat="1" x14ac:dyDescent="0.25"/>
    <row r="98" s="127" customFormat="1" x14ac:dyDescent="0.25"/>
    <row r="99" s="127" customFormat="1" x14ac:dyDescent="0.25"/>
    <row r="100" s="127" customFormat="1" x14ac:dyDescent="0.25"/>
    <row r="101" s="127" customFormat="1" x14ac:dyDescent="0.25"/>
    <row r="102" s="127" customFormat="1" x14ac:dyDescent="0.25"/>
    <row r="103" s="127" customFormat="1" x14ac:dyDescent="0.25"/>
    <row r="104" s="127" customFormat="1" x14ac:dyDescent="0.25"/>
    <row r="105" s="127" customFormat="1" x14ac:dyDescent="0.25"/>
    <row r="106" s="127" customFormat="1" x14ac:dyDescent="0.25"/>
    <row r="107" s="127" customFormat="1" x14ac:dyDescent="0.25"/>
    <row r="108" s="127" customFormat="1" x14ac:dyDescent="0.25"/>
    <row r="109" s="127" customFormat="1" x14ac:dyDescent="0.25"/>
    <row r="110" s="127" customFormat="1" x14ac:dyDescent="0.25"/>
    <row r="111" s="127" customFormat="1" x14ac:dyDescent="0.25"/>
    <row r="112" s="127" customFormat="1" x14ac:dyDescent="0.25"/>
    <row r="113" s="127" customFormat="1" x14ac:dyDescent="0.25"/>
    <row r="114" s="127" customFormat="1" x14ac:dyDescent="0.25"/>
    <row r="115" s="127" customFormat="1" x14ac:dyDescent="0.25"/>
    <row r="116" s="127" customFormat="1" x14ac:dyDescent="0.25"/>
    <row r="117" s="127" customFormat="1" x14ac:dyDescent="0.25"/>
    <row r="118" s="127" customFormat="1" x14ac:dyDescent="0.25"/>
    <row r="119" s="127" customFormat="1" x14ac:dyDescent="0.25"/>
    <row r="120" s="127" customFormat="1" x14ac:dyDescent="0.25"/>
    <row r="121" s="127" customFormat="1" x14ac:dyDescent="0.25"/>
    <row r="122" s="127" customFormat="1" x14ac:dyDescent="0.25"/>
    <row r="123" s="127" customFormat="1" x14ac:dyDescent="0.25"/>
    <row r="124" s="127" customFormat="1" x14ac:dyDescent="0.25"/>
    <row r="125" s="127" customFormat="1" x14ac:dyDescent="0.25"/>
    <row r="126" s="127" customFormat="1" x14ac:dyDescent="0.25"/>
    <row r="127" s="127" customFormat="1" x14ac:dyDescent="0.25"/>
    <row r="128" s="127" customFormat="1" x14ac:dyDescent="0.25"/>
    <row r="129" s="127" customFormat="1" x14ac:dyDescent="0.25"/>
    <row r="130" s="127" customFormat="1" x14ac:dyDescent="0.25"/>
    <row r="131" s="127" customFormat="1" x14ac:dyDescent="0.25"/>
    <row r="132" s="127" customFormat="1" x14ac:dyDescent="0.25"/>
    <row r="133" s="127" customFormat="1" x14ac:dyDescent="0.25"/>
    <row r="134" s="127" customFormat="1" x14ac:dyDescent="0.25"/>
    <row r="135" s="127" customFormat="1" x14ac:dyDescent="0.25"/>
    <row r="136" s="127" customFormat="1" x14ac:dyDescent="0.25"/>
    <row r="137" s="127" customFormat="1" x14ac:dyDescent="0.25"/>
    <row r="138" s="127" customFormat="1" x14ac:dyDescent="0.25"/>
    <row r="139" s="127" customFormat="1" x14ac:dyDescent="0.25"/>
    <row r="140" s="127" customFormat="1" x14ac:dyDescent="0.25"/>
    <row r="141" s="127" customFormat="1" x14ac:dyDescent="0.25"/>
    <row r="142" s="127" customFormat="1" x14ac:dyDescent="0.25"/>
    <row r="143" s="127" customFormat="1" x14ac:dyDescent="0.25"/>
    <row r="144" s="127" customFormat="1" x14ac:dyDescent="0.25"/>
    <row r="145" s="127" customFormat="1" x14ac:dyDescent="0.25"/>
    <row r="146" s="127" customFormat="1" x14ac:dyDescent="0.25"/>
    <row r="147" s="127" customFormat="1" x14ac:dyDescent="0.25"/>
    <row r="148" s="127" customFormat="1" x14ac:dyDescent="0.25"/>
    <row r="149" s="127" customFormat="1" x14ac:dyDescent="0.25"/>
    <row r="150" s="127" customFormat="1" x14ac:dyDescent="0.25"/>
    <row r="151" s="127" customFormat="1" x14ac:dyDescent="0.25"/>
    <row r="152" s="127" customFormat="1" x14ac:dyDescent="0.25"/>
    <row r="153" s="127" customFormat="1" x14ac:dyDescent="0.25"/>
    <row r="154" s="127" customFormat="1" x14ac:dyDescent="0.25"/>
    <row r="155" s="127" customFormat="1" x14ac:dyDescent="0.25"/>
    <row r="156" s="127" customFormat="1" x14ac:dyDescent="0.25"/>
    <row r="157" s="127" customFormat="1" x14ac:dyDescent="0.25"/>
    <row r="158" s="127" customFormat="1" x14ac:dyDescent="0.25"/>
    <row r="159" s="127" customFormat="1" x14ac:dyDescent="0.25"/>
    <row r="160" s="127" customFormat="1" x14ac:dyDescent="0.25"/>
    <row r="161" s="127" customFormat="1" x14ac:dyDescent="0.25"/>
    <row r="162" s="127" customFormat="1" x14ac:dyDescent="0.25"/>
    <row r="163" s="127" customFormat="1" x14ac:dyDescent="0.25"/>
    <row r="164" s="127" customFormat="1" x14ac:dyDescent="0.25"/>
    <row r="165" s="127" customFormat="1" x14ac:dyDescent="0.25"/>
    <row r="166" s="127" customFormat="1" x14ac:dyDescent="0.25"/>
    <row r="167" s="127" customFormat="1" x14ac:dyDescent="0.25"/>
    <row r="168" s="127" customFormat="1" x14ac:dyDescent="0.25"/>
    <row r="169" s="127" customFormat="1" x14ac:dyDescent="0.25"/>
    <row r="170" s="127" customFormat="1" x14ac:dyDescent="0.25"/>
    <row r="171" s="127" customFormat="1" x14ac:dyDescent="0.25"/>
    <row r="172" s="127" customFormat="1" x14ac:dyDescent="0.25"/>
    <row r="173" s="127" customFormat="1" x14ac:dyDescent="0.25"/>
    <row r="174" s="127" customFormat="1" x14ac:dyDescent="0.25"/>
    <row r="175" s="127" customFormat="1" x14ac:dyDescent="0.25"/>
    <row r="176" s="127" customFormat="1" x14ac:dyDescent="0.25"/>
    <row r="177" s="127" customFormat="1" x14ac:dyDescent="0.25"/>
    <row r="178" s="127" customFormat="1" x14ac:dyDescent="0.25"/>
  </sheetData>
  <sheetProtection password="FB6B" sheet="1" formatCells="0" formatColumns="0" formatRows="0"/>
  <mergeCells count="8">
    <mergeCell ref="A1:B1"/>
    <mergeCell ref="C2:E2"/>
    <mergeCell ref="A3:E3"/>
    <mergeCell ref="A5:A7"/>
    <mergeCell ref="E5:E7"/>
    <mergeCell ref="B5:B7"/>
    <mergeCell ref="C5:C7"/>
    <mergeCell ref="D5:D7"/>
  </mergeCells>
  <printOptions horizontalCentered="1"/>
  <pageMargins left="0.31496062992125984" right="0.11811023622047245" top="0.15748031496062992" bottom="0.15748031496062992" header="0.31496062992125984" footer="0.31496062992125984"/>
  <pageSetup paperSize="9" scale="68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Автоперевірка </vt:lpstr>
      <vt:lpstr>Hidden_резерв</vt:lpstr>
      <vt:lpstr>Звіт 1,2,3</vt:lpstr>
      <vt:lpstr>Звіт   4,5,6</vt:lpstr>
      <vt:lpstr>Звіт  7,8</vt:lpstr>
      <vt:lpstr>Звіт   9</vt:lpstr>
      <vt:lpstr>Звіт 10, 11,12,13,14</vt:lpstr>
      <vt:lpstr>Дод_Надходж ПМГ </vt:lpstr>
      <vt:lpstr>Дод_Доходи ПМГ </vt:lpstr>
      <vt:lpstr>'Дод_Доходи ПМГ '!Область_печати</vt:lpstr>
      <vt:lpstr>'Звіт   4,5,6'!Область_печати</vt:lpstr>
      <vt:lpstr>'Звіт   9'!Область_печати</vt:lpstr>
      <vt:lpstr>'Звіт  7,8'!Область_печати</vt:lpstr>
      <vt:lpstr>'Звіт 1,2,3'!Область_печати</vt:lpstr>
      <vt:lpstr>'Звіт 10, 11,12,13,14'!Область_печати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Загрядська Олена Валеріївна</dc:creator>
  <cp:lastModifiedBy>Головбух</cp:lastModifiedBy>
  <cp:lastPrinted>2020-08-02T09:46:55Z</cp:lastPrinted>
  <dcterms:created xsi:type="dcterms:W3CDTF">2020-03-06T08:04:17Z</dcterms:created>
  <dcterms:modified xsi:type="dcterms:W3CDTF">2020-08-03T10:23:59Z</dcterms:modified>
</cp:coreProperties>
</file>