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CD2D23-CE63-472E-89B9-7FA3FB6F7067}" xr6:coauthVersionLast="37" xr6:coauthVersionMax="37" xr10:uidLastSave="{00000000-0000-0000-0000-000000000000}"/>
  <workbookProtection workbookPassword="FB6B" lockStructure="1"/>
  <bookViews>
    <workbookView xWindow="32760" yWindow="32760" windowWidth="23040" windowHeight="9195" tabRatio="881" activeTab="5" xr2:uid="{00000000-000D-0000-FFFF-FFFF00000000}"/>
  </bookViews>
  <sheets>
    <sheet name="Автоперевірка 2" sheetId="65" r:id="rId1"/>
    <sheet name="Hidden" sheetId="67" state="hidden" r:id="rId2"/>
    <sheet name="Звіт 1,2,3" sheetId="38" r:id="rId3"/>
    <sheet name="Звіт   4,5,6" sheetId="40" r:id="rId4"/>
    <sheet name="Звіт  7,8" sheetId="42" r:id="rId5"/>
    <sheet name="Звіт   9" sheetId="47" r:id="rId6"/>
    <sheet name="Дод_Надходж ПМГ " sheetId="15" r:id="rId7"/>
    <sheet name="Дод_Доходи ПМГ " sheetId="17" r:id="rId8"/>
  </sheets>
  <externalReferences>
    <externalReference r:id="rId9"/>
  </externalReferences>
  <definedNames>
    <definedName name="__123Graph_XGRAPH3" localSheetId="1" hidden="1">[1]GDP!#REF!</definedName>
    <definedName name="__123Graph_XGRAPH3" localSheetId="0" hidden="1">[1]GDP!#REF!</definedName>
    <definedName name="__123Graph_XGRAPH3" localSheetId="7" hidden="1">[1]GDP!#REF!</definedName>
    <definedName name="__123Graph_XGRAPH3" localSheetId="3" hidden="1">[1]GDP!#REF!</definedName>
    <definedName name="__123Graph_XGRAPH3" localSheetId="5" hidden="1">[1]GDP!#REF!</definedName>
    <definedName name="__123Graph_XGRAPH3" localSheetId="4" hidden="1">[1]GDP!#REF!</definedName>
    <definedName name="__123Graph_XGRAPH3" localSheetId="2" hidden="1">[1]GDP!#REF!</definedName>
    <definedName name="__123Graph_XGRAPH3" hidden="1">[1]GDP!#REF!</definedName>
    <definedName name="_xlnm._FilterDatabase" localSheetId="3" hidden="1">'Звіт   4,5,6'!$A$19:$H$23</definedName>
    <definedName name="_xlnm._FilterDatabase" localSheetId="5" hidden="1">'Звіт   9'!#REF!</definedName>
    <definedName name="_xlnm._FilterDatabase" localSheetId="4" hidden="1">'Звіт  7,8'!#REF!</definedName>
    <definedName name="_xlnm._FilterDatabase" localSheetId="2" hidden="1">'Звіт 1,2,3'!#REF!</definedName>
    <definedName name="_xlnm.Print_Area" localSheetId="3">'Звіт   4,5,6'!$A$1:$R$253</definedName>
    <definedName name="_xlnm.Print_Area" localSheetId="5">'Звіт   9'!$A$1:$J$85</definedName>
    <definedName name="_xlnm.Print_Area" localSheetId="4">'Звіт  7,8'!$A$1:$V$141</definedName>
    <definedName name="_xlnm.Print_Area" localSheetId="2">'Звіт 1,2,3'!$A$1:$T$95</definedName>
    <definedName name="щщщ" localSheetId="1" hidden="1">[1]GDP!#REF!</definedName>
    <definedName name="щщщ" localSheetId="0" hidden="1">[1]GDP!#REF!</definedName>
    <definedName name="щщщ" localSheetId="7" hidden="1">[1]GDP!#REF!</definedName>
    <definedName name="щщщ" localSheetId="3" hidden="1">[1]GDP!#REF!</definedName>
    <definedName name="щщщ" localSheetId="5" hidden="1">[1]GDP!#REF!</definedName>
    <definedName name="щщщ" localSheetId="4" hidden="1">[1]GDP!#REF!</definedName>
    <definedName name="щщщ" localSheetId="2" hidden="1">[1]GDP!#REF!</definedName>
    <definedName name="щщщ" hidden="1">[1]GDP!#REF!</definedName>
  </definedNames>
  <calcPr calcId="179021"/>
</workbook>
</file>

<file path=xl/calcChain.xml><?xml version="1.0" encoding="utf-8"?>
<calcChain xmlns="http://schemas.openxmlformats.org/spreadsheetml/2006/main">
  <c r="I38" i="47" l="1"/>
  <c r="I59" i="47"/>
  <c r="H40" i="40" l="1"/>
  <c r="H31" i="40"/>
  <c r="H30" i="40"/>
  <c r="P44" i="40"/>
  <c r="P35" i="40"/>
  <c r="P31" i="40"/>
  <c r="P30" i="40"/>
  <c r="H50" i="47"/>
  <c r="H48" i="47"/>
  <c r="I48" i="47"/>
  <c r="J15" i="42" l="1"/>
  <c r="J13" i="42"/>
  <c r="H15" i="40" l="1"/>
  <c r="H68" i="47" l="1"/>
  <c r="H69" i="47"/>
  <c r="M22" i="38" l="1"/>
  <c r="O16" i="38" l="1"/>
  <c r="M60" i="40" l="1"/>
  <c r="J5" i="67"/>
  <c r="E76" i="47"/>
  <c r="H84" i="65"/>
  <c r="I83" i="65"/>
  <c r="K81" i="65"/>
  <c r="F91" i="65" s="1"/>
  <c r="F5" i="67" s="1"/>
  <c r="G10" i="47"/>
  <c r="I44" i="47"/>
  <c r="J44" i="47"/>
  <c r="H44" i="47"/>
  <c r="G44" i="47"/>
  <c r="F44" i="47"/>
  <c r="E44" i="47"/>
  <c r="D44" i="47"/>
  <c r="A44" i="47"/>
  <c r="G65" i="47"/>
  <c r="G43" i="47"/>
  <c r="H43" i="47"/>
  <c r="I43" i="47"/>
  <c r="J43" i="47"/>
  <c r="F43" i="47"/>
  <c r="G26" i="65"/>
  <c r="I14" i="65"/>
  <c r="H81" i="65"/>
  <c r="I79" i="65"/>
  <c r="J78" i="47"/>
  <c r="J77" i="47"/>
  <c r="J75" i="47"/>
  <c r="J74" i="47"/>
  <c r="J73" i="47"/>
  <c r="J72" i="47"/>
  <c r="J71" i="47"/>
  <c r="J70" i="47"/>
  <c r="J69" i="47"/>
  <c r="J68" i="47"/>
  <c r="J67" i="47"/>
  <c r="J66" i="47"/>
  <c r="J65" i="47"/>
  <c r="J64" i="47"/>
  <c r="J62" i="47"/>
  <c r="J61" i="47"/>
  <c r="J59" i="47"/>
  <c r="K90" i="65" s="1"/>
  <c r="J58" i="47"/>
  <c r="J57" i="47"/>
  <c r="J56" i="47"/>
  <c r="J55" i="47"/>
  <c r="J54" i="47"/>
  <c r="J52" i="47"/>
  <c r="J51" i="47"/>
  <c r="J50" i="47"/>
  <c r="H12" i="65" s="1"/>
  <c r="J49" i="47"/>
  <c r="J48" i="47"/>
  <c r="K88" i="65" s="1"/>
  <c r="J47" i="47"/>
  <c r="J46" i="47"/>
  <c r="J45" i="47"/>
  <c r="J41" i="47"/>
  <c r="J39" i="47"/>
  <c r="J38" i="47"/>
  <c r="J37" i="47"/>
  <c r="J36" i="47"/>
  <c r="J35" i="47"/>
  <c r="J34" i="47"/>
  <c r="J33" i="47"/>
  <c r="J32" i="47"/>
  <c r="J31" i="47"/>
  <c r="J30" i="47"/>
  <c r="J29" i="47"/>
  <c r="K43" i="65" s="1"/>
  <c r="J28" i="47"/>
  <c r="J27" i="47"/>
  <c r="J26" i="47"/>
  <c r="K10" i="65" s="1"/>
  <c r="J25" i="47"/>
  <c r="J23" i="47"/>
  <c r="J22" i="47"/>
  <c r="J21" i="47"/>
  <c r="J20" i="47"/>
  <c r="J19" i="47"/>
  <c r="J18" i="47"/>
  <c r="J17" i="47"/>
  <c r="J16" i="47"/>
  <c r="J15" i="47"/>
  <c r="G20" i="65" s="1"/>
  <c r="J14" i="47"/>
  <c r="J12" i="47"/>
  <c r="J11" i="47"/>
  <c r="J10" i="47"/>
  <c r="H9" i="47"/>
  <c r="I76" i="47"/>
  <c r="H76" i="47"/>
  <c r="I60" i="47"/>
  <c r="H60" i="47"/>
  <c r="I53" i="47"/>
  <c r="H53" i="47"/>
  <c r="I40" i="47"/>
  <c r="H40" i="47"/>
  <c r="I13" i="47"/>
  <c r="I24" i="47" s="1"/>
  <c r="H13" i="47"/>
  <c r="H24" i="47" s="1"/>
  <c r="I9" i="47"/>
  <c r="G46" i="47"/>
  <c r="G11" i="47"/>
  <c r="G12" i="47"/>
  <c r="G14" i="47"/>
  <c r="G15" i="47"/>
  <c r="G16" i="47"/>
  <c r="G17" i="47"/>
  <c r="G18" i="47"/>
  <c r="G19" i="47"/>
  <c r="G20" i="47"/>
  <c r="G21" i="47"/>
  <c r="G22" i="47"/>
  <c r="G23" i="47"/>
  <c r="G25" i="47"/>
  <c r="G26" i="47"/>
  <c r="G90" i="65" s="1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1" i="47"/>
  <c r="G45" i="47"/>
  <c r="G47" i="47"/>
  <c r="H14" i="65" s="1"/>
  <c r="G48" i="47"/>
  <c r="I81" i="65" s="1"/>
  <c r="G49" i="47"/>
  <c r="G50" i="47"/>
  <c r="G12" i="65" s="1"/>
  <c r="G51" i="47"/>
  <c r="G52" i="47"/>
  <c r="G54" i="47"/>
  <c r="G55" i="47"/>
  <c r="G56" i="47"/>
  <c r="G57" i="47"/>
  <c r="G58" i="47"/>
  <c r="G59" i="47"/>
  <c r="G61" i="47"/>
  <c r="G62" i="47"/>
  <c r="G64" i="47"/>
  <c r="G66" i="47"/>
  <c r="G67" i="47"/>
  <c r="G68" i="47"/>
  <c r="G69" i="47"/>
  <c r="G70" i="47"/>
  <c r="G71" i="47"/>
  <c r="G72" i="47"/>
  <c r="G73" i="47"/>
  <c r="G74" i="47"/>
  <c r="H79" i="65" s="1"/>
  <c r="G75" i="47"/>
  <c r="G77" i="47"/>
  <c r="G78" i="47"/>
  <c r="F76" i="47"/>
  <c r="G76" i="47"/>
  <c r="E60" i="47"/>
  <c r="F60" i="47"/>
  <c r="E53" i="47"/>
  <c r="F53" i="47"/>
  <c r="E40" i="47"/>
  <c r="F40" i="47"/>
  <c r="E13" i="47"/>
  <c r="G13" i="47" s="1"/>
  <c r="F13" i="47"/>
  <c r="E9" i="47"/>
  <c r="F9" i="47"/>
  <c r="I12" i="65"/>
  <c r="G14" i="65"/>
  <c r="J9" i="47"/>
  <c r="F24" i="47"/>
  <c r="F42" i="47" s="1"/>
  <c r="H22" i="65"/>
  <c r="G5" i="65"/>
  <c r="E5" i="65" s="1"/>
  <c r="L43" i="65"/>
  <c r="H57" i="65"/>
  <c r="G57" i="65"/>
  <c r="H55" i="65"/>
  <c r="G55" i="65"/>
  <c r="H53" i="65"/>
  <c r="G53" i="65"/>
  <c r="D65" i="40"/>
  <c r="E65" i="40"/>
  <c r="F65" i="40"/>
  <c r="D66" i="40"/>
  <c r="E66" i="40"/>
  <c r="F66" i="40"/>
  <c r="H9" i="42"/>
  <c r="G59" i="65" s="1"/>
  <c r="G9" i="42"/>
  <c r="L8" i="42"/>
  <c r="K8" i="42"/>
  <c r="G10" i="42"/>
  <c r="H10" i="42"/>
  <c r="J8" i="42"/>
  <c r="I8" i="42"/>
  <c r="H73" i="65"/>
  <c r="G63" i="65"/>
  <c r="G73" i="65"/>
  <c r="H71" i="65"/>
  <c r="G71" i="65"/>
  <c r="H63" i="65"/>
  <c r="H61" i="65"/>
  <c r="G61" i="65"/>
  <c r="G37" i="65"/>
  <c r="P28" i="65"/>
  <c r="P26" i="65"/>
  <c r="M26" i="65"/>
  <c r="J28" i="65"/>
  <c r="G28" i="65"/>
  <c r="J26" i="65"/>
  <c r="G11" i="42"/>
  <c r="G12" i="42"/>
  <c r="G13" i="42"/>
  <c r="G14" i="42"/>
  <c r="G15" i="42"/>
  <c r="G16" i="42"/>
  <c r="G17" i="42"/>
  <c r="G18" i="42"/>
  <c r="G19" i="42"/>
  <c r="G20" i="42"/>
  <c r="M8" i="42"/>
  <c r="D1" i="47"/>
  <c r="M28" i="65"/>
  <c r="G79" i="65"/>
  <c r="I43" i="65"/>
  <c r="G43" i="65"/>
  <c r="H20" i="65"/>
  <c r="G18" i="65"/>
  <c r="G10" i="65"/>
  <c r="C3" i="65"/>
  <c r="G1" i="65"/>
  <c r="F1" i="65"/>
  <c r="E1" i="65"/>
  <c r="D1" i="65"/>
  <c r="A5" i="67" s="1"/>
  <c r="C1" i="65"/>
  <c r="D17" i="65"/>
  <c r="E30" i="40"/>
  <c r="D77" i="40"/>
  <c r="D76" i="40"/>
  <c r="F8" i="40"/>
  <c r="F7" i="40" s="1"/>
  <c r="F1" i="47"/>
  <c r="D48" i="40"/>
  <c r="E48" i="40"/>
  <c r="F48" i="40"/>
  <c r="D31" i="40"/>
  <c r="D30" i="40"/>
  <c r="D79" i="40"/>
  <c r="D80" i="40"/>
  <c r="D81" i="40"/>
  <c r="D75" i="40"/>
  <c r="D72" i="40"/>
  <c r="D69" i="40"/>
  <c r="D70" i="40"/>
  <c r="D71" i="40"/>
  <c r="D68" i="40"/>
  <c r="D64" i="40"/>
  <c r="D63" i="40"/>
  <c r="D61" i="40"/>
  <c r="D60" i="40"/>
  <c r="D58" i="40"/>
  <c r="D59" i="40"/>
  <c r="D56" i="40"/>
  <c r="D47" i="40"/>
  <c r="D46" i="40"/>
  <c r="D41" i="40"/>
  <c r="D42" i="40"/>
  <c r="D43" i="40"/>
  <c r="D44" i="40"/>
  <c r="D40" i="40"/>
  <c r="D35" i="40"/>
  <c r="D36" i="40"/>
  <c r="D73" i="40"/>
  <c r="D74" i="40"/>
  <c r="D55" i="40"/>
  <c r="D45" i="40"/>
  <c r="D37" i="40"/>
  <c r="D38" i="40"/>
  <c r="D39" i="40"/>
  <c r="D50" i="40"/>
  <c r="D51" i="40"/>
  <c r="D52" i="40"/>
  <c r="D53" i="40"/>
  <c r="D54" i="40"/>
  <c r="H8" i="40"/>
  <c r="G34" i="40"/>
  <c r="G33" i="40" s="1"/>
  <c r="G29" i="40" s="1"/>
  <c r="E36" i="40"/>
  <c r="F36" i="40"/>
  <c r="P34" i="40"/>
  <c r="Q34" i="40"/>
  <c r="O34" i="40"/>
  <c r="H34" i="40"/>
  <c r="E34" i="40" s="1"/>
  <c r="I34" i="40"/>
  <c r="J34" i="40"/>
  <c r="K34" i="40"/>
  <c r="D43" i="47"/>
  <c r="K41" i="38"/>
  <c r="J37" i="38"/>
  <c r="J24" i="65" s="1"/>
  <c r="I62" i="40"/>
  <c r="H46" i="38"/>
  <c r="I18" i="38"/>
  <c r="E95" i="40"/>
  <c r="J62" i="40"/>
  <c r="J57" i="40" s="1"/>
  <c r="K62" i="40"/>
  <c r="K57" i="40"/>
  <c r="F35" i="40"/>
  <c r="D67" i="40"/>
  <c r="D32" i="40"/>
  <c r="E31" i="40"/>
  <c r="G88" i="40" s="1"/>
  <c r="E32" i="40"/>
  <c r="G89" i="40" s="1"/>
  <c r="E35" i="40"/>
  <c r="E37" i="40"/>
  <c r="E38" i="40"/>
  <c r="E39" i="40"/>
  <c r="E40" i="40"/>
  <c r="E41" i="40"/>
  <c r="E42" i="40"/>
  <c r="E43" i="40"/>
  <c r="E44" i="40"/>
  <c r="H33" i="65" s="1"/>
  <c r="E45" i="40"/>
  <c r="E46" i="40"/>
  <c r="E47" i="40"/>
  <c r="B89" i="40"/>
  <c r="E29" i="42"/>
  <c r="E30" i="42"/>
  <c r="E31" i="42"/>
  <c r="E32" i="42"/>
  <c r="E33" i="42"/>
  <c r="E34" i="42"/>
  <c r="F28" i="42"/>
  <c r="F40" i="42" s="1"/>
  <c r="F27" i="42"/>
  <c r="F39" i="42"/>
  <c r="H59" i="65"/>
  <c r="E1" i="17"/>
  <c r="C1" i="17"/>
  <c r="H1" i="15"/>
  <c r="D1" i="15"/>
  <c r="G49" i="40"/>
  <c r="G62" i="40"/>
  <c r="G57" i="40" s="1"/>
  <c r="G78" i="40"/>
  <c r="H49" i="40"/>
  <c r="I49" i="40"/>
  <c r="H62" i="40"/>
  <c r="H57" i="40" s="1"/>
  <c r="H78" i="40"/>
  <c r="A3" i="40"/>
  <c r="A3" i="42"/>
  <c r="A84" i="40"/>
  <c r="A48" i="38"/>
  <c r="J18" i="38"/>
  <c r="J17" i="38"/>
  <c r="M27" i="42"/>
  <c r="I73" i="65" s="1"/>
  <c r="M28" i="42"/>
  <c r="G27" i="42"/>
  <c r="I61" i="65"/>
  <c r="G28" i="42"/>
  <c r="H28" i="42"/>
  <c r="I28" i="42"/>
  <c r="J28" i="42"/>
  <c r="K28" i="42"/>
  <c r="L28" i="42"/>
  <c r="N28" i="42"/>
  <c r="D46" i="38"/>
  <c r="A5" i="42"/>
  <c r="F1" i="42"/>
  <c r="D1" i="42"/>
  <c r="I1" i="40"/>
  <c r="D1" i="40"/>
  <c r="H67" i="38"/>
  <c r="G67" i="38"/>
  <c r="H66" i="38"/>
  <c r="G66" i="38"/>
  <c r="T65" i="38"/>
  <c r="S65" i="38"/>
  <c r="R65" i="38"/>
  <c r="Q65" i="38"/>
  <c r="P65" i="38"/>
  <c r="O65" i="38"/>
  <c r="N65" i="38"/>
  <c r="M65" i="38"/>
  <c r="L65" i="38"/>
  <c r="K65" i="38"/>
  <c r="J65" i="38"/>
  <c r="I65" i="38"/>
  <c r="F65" i="38"/>
  <c r="H64" i="38"/>
  <c r="G64" i="38"/>
  <c r="H63" i="38"/>
  <c r="G63" i="38"/>
  <c r="H62" i="38"/>
  <c r="G62" i="38"/>
  <c r="H61" i="38"/>
  <c r="G61" i="38"/>
  <c r="T60" i="38"/>
  <c r="S60" i="38"/>
  <c r="R60" i="38"/>
  <c r="Q60" i="38"/>
  <c r="P60" i="38"/>
  <c r="O60" i="38"/>
  <c r="N60" i="38"/>
  <c r="M60" i="38"/>
  <c r="L60" i="38"/>
  <c r="K60" i="38"/>
  <c r="K55" i="38" s="1"/>
  <c r="J60" i="38"/>
  <c r="I60" i="38"/>
  <c r="F60" i="38"/>
  <c r="H59" i="38"/>
  <c r="G59" i="38"/>
  <c r="H58" i="38"/>
  <c r="G58" i="38"/>
  <c r="H57" i="38"/>
  <c r="G57" i="38"/>
  <c r="T56" i="38"/>
  <c r="S56" i="38"/>
  <c r="R56" i="38"/>
  <c r="Q56" i="38"/>
  <c r="P56" i="38"/>
  <c r="O56" i="38"/>
  <c r="N56" i="38"/>
  <c r="M56" i="38"/>
  <c r="L56" i="38"/>
  <c r="K56" i="38"/>
  <c r="J56" i="38"/>
  <c r="H56" i="38" s="1"/>
  <c r="I56" i="38"/>
  <c r="F56" i="38"/>
  <c r="N27" i="42"/>
  <c r="H75" i="65"/>
  <c r="L27" i="42"/>
  <c r="I71" i="65" s="1"/>
  <c r="K27" i="42"/>
  <c r="H69" i="65" s="1"/>
  <c r="J27" i="42"/>
  <c r="H67" i="65" s="1"/>
  <c r="I27" i="42"/>
  <c r="H65" i="65"/>
  <c r="H27" i="42"/>
  <c r="H22" i="42"/>
  <c r="G22" i="42"/>
  <c r="H21" i="42"/>
  <c r="G21" i="42"/>
  <c r="H20" i="42"/>
  <c r="H19" i="42"/>
  <c r="H18" i="42"/>
  <c r="J40" i="42" s="1"/>
  <c r="H17" i="42"/>
  <c r="H16" i="42"/>
  <c r="I40" i="42" s="1"/>
  <c r="H15" i="42"/>
  <c r="I39" i="42" s="1"/>
  <c r="H14" i="42"/>
  <c r="E40" i="42" s="1"/>
  <c r="H13" i="42"/>
  <c r="G65" i="65" s="1"/>
  <c r="H12" i="42"/>
  <c r="G40" i="42" s="1"/>
  <c r="H11" i="42"/>
  <c r="N8" i="42"/>
  <c r="J95" i="40"/>
  <c r="I90" i="40"/>
  <c r="I91" i="40"/>
  <c r="I92" i="40"/>
  <c r="I93" i="40"/>
  <c r="I95" i="40"/>
  <c r="O62" i="40"/>
  <c r="O57" i="40"/>
  <c r="O78" i="40"/>
  <c r="P78" i="40"/>
  <c r="N62" i="40"/>
  <c r="N57" i="40"/>
  <c r="Q62" i="40"/>
  <c r="Q57" i="40" s="1"/>
  <c r="L62" i="40"/>
  <c r="M62" i="40"/>
  <c r="M57" i="40" s="1"/>
  <c r="P62" i="40"/>
  <c r="P57" i="40" s="1"/>
  <c r="Q49" i="40"/>
  <c r="N49" i="40"/>
  <c r="N33" i="40"/>
  <c r="F33" i="40" s="1"/>
  <c r="I86" i="40" s="1"/>
  <c r="J33" i="40"/>
  <c r="J29" i="40" s="1"/>
  <c r="K33" i="40"/>
  <c r="F30" i="40"/>
  <c r="I87" i="40" s="1"/>
  <c r="F31" i="40"/>
  <c r="I88" i="40" s="1"/>
  <c r="F32" i="40"/>
  <c r="F37" i="40"/>
  <c r="F38" i="40"/>
  <c r="F39" i="40"/>
  <c r="F40" i="40"/>
  <c r="F41" i="40"/>
  <c r="F42" i="40"/>
  <c r="F43" i="40"/>
  <c r="F44" i="40"/>
  <c r="F45" i="40"/>
  <c r="F46" i="40"/>
  <c r="F47" i="40"/>
  <c r="E50" i="40"/>
  <c r="F50" i="40"/>
  <c r="E51" i="40"/>
  <c r="F51" i="40"/>
  <c r="E52" i="40"/>
  <c r="F52" i="40"/>
  <c r="E53" i="40"/>
  <c r="F53" i="40"/>
  <c r="E54" i="40"/>
  <c r="F54" i="40"/>
  <c r="E55" i="40"/>
  <c r="F55" i="40"/>
  <c r="E56" i="40"/>
  <c r="F56" i="40"/>
  <c r="E58" i="40"/>
  <c r="F58" i="40"/>
  <c r="E59" i="40"/>
  <c r="F59" i="40"/>
  <c r="E60" i="40"/>
  <c r="F60" i="40"/>
  <c r="E61" i="40"/>
  <c r="F61" i="40"/>
  <c r="E63" i="40"/>
  <c r="F63" i="40"/>
  <c r="E64" i="40"/>
  <c r="F64" i="40"/>
  <c r="E67" i="40"/>
  <c r="F67" i="40"/>
  <c r="E68" i="40"/>
  <c r="F68" i="40"/>
  <c r="E69" i="40"/>
  <c r="F69" i="40"/>
  <c r="E70" i="40"/>
  <c r="F70" i="40"/>
  <c r="E71" i="40"/>
  <c r="F71" i="40"/>
  <c r="E72" i="40"/>
  <c r="F72" i="40"/>
  <c r="E73" i="40"/>
  <c r="F73" i="40"/>
  <c r="E74" i="40"/>
  <c r="F74" i="40"/>
  <c r="E75" i="40"/>
  <c r="F75" i="40"/>
  <c r="E76" i="40"/>
  <c r="F76" i="40"/>
  <c r="E77" i="40"/>
  <c r="F77" i="40"/>
  <c r="E79" i="40"/>
  <c r="G91" i="40" s="1"/>
  <c r="E80" i="40"/>
  <c r="G92" i="40" s="1"/>
  <c r="E81" i="40"/>
  <c r="G93" i="40"/>
  <c r="G95" i="40"/>
  <c r="K40" i="42"/>
  <c r="H40" i="42"/>
  <c r="G69" i="65"/>
  <c r="E28" i="42"/>
  <c r="I55" i="38"/>
  <c r="O55" i="38"/>
  <c r="Q55" i="38"/>
  <c r="G55" i="38" s="1"/>
  <c r="H18" i="65" s="1"/>
  <c r="G65" i="38"/>
  <c r="T55" i="38"/>
  <c r="L55" i="38"/>
  <c r="H65" i="38"/>
  <c r="G60" i="38"/>
  <c r="J55" i="38"/>
  <c r="R55" i="38"/>
  <c r="G56" i="38"/>
  <c r="S55" i="38"/>
  <c r="M55" i="38"/>
  <c r="F55" i="38"/>
  <c r="P55" i="38"/>
  <c r="N55" i="38"/>
  <c r="H55" i="38" s="1"/>
  <c r="Q33" i="40"/>
  <c r="Q29" i="40" s="1"/>
  <c r="F49" i="40"/>
  <c r="I33" i="40"/>
  <c r="F34" i="40"/>
  <c r="E88" i="40"/>
  <c r="L49" i="40"/>
  <c r="D49" i="40" s="1"/>
  <c r="M49" i="40"/>
  <c r="M33" i="40" s="1"/>
  <c r="O49" i="40"/>
  <c r="O33" i="40"/>
  <c r="P49" i="40"/>
  <c r="K29" i="40"/>
  <c r="L57" i="40"/>
  <c r="J78" i="40"/>
  <c r="K78" i="40"/>
  <c r="L78" i="40"/>
  <c r="D78" i="40"/>
  <c r="E90" i="40" s="1"/>
  <c r="M78" i="40"/>
  <c r="E91" i="40"/>
  <c r="G24" i="38"/>
  <c r="G48" i="65" s="1"/>
  <c r="H24" i="38"/>
  <c r="I48" i="65" s="1"/>
  <c r="E10" i="15"/>
  <c r="F18" i="38"/>
  <c r="K18" i="38"/>
  <c r="L18" i="38"/>
  <c r="L17" i="38" s="1"/>
  <c r="M18" i="38"/>
  <c r="G18" i="38" s="1"/>
  <c r="N18" i="38"/>
  <c r="N17" i="38" s="1"/>
  <c r="O18" i="38"/>
  <c r="P18" i="38"/>
  <c r="P17" i="38" s="1"/>
  <c r="Q28" i="65" s="1"/>
  <c r="Q18" i="38"/>
  <c r="R18" i="38"/>
  <c r="S18" i="38"/>
  <c r="T18" i="38"/>
  <c r="T17" i="38" s="1"/>
  <c r="L33" i="40"/>
  <c r="E89" i="40"/>
  <c r="E93" i="40"/>
  <c r="E92" i="40"/>
  <c r="E87" i="40"/>
  <c r="E62" i="40"/>
  <c r="E49" i="40"/>
  <c r="G19" i="38"/>
  <c r="H19" i="38"/>
  <c r="G20" i="38"/>
  <c r="H20" i="38"/>
  <c r="G21" i="38"/>
  <c r="H21" i="38"/>
  <c r="G22" i="38"/>
  <c r="H22" i="38"/>
  <c r="G23" i="38"/>
  <c r="H48" i="65" s="1"/>
  <c r="H23" i="38"/>
  <c r="J48" i="65" s="1"/>
  <c r="G25" i="38"/>
  <c r="H25" i="38"/>
  <c r="G26" i="38"/>
  <c r="G33" i="65" s="1"/>
  <c r="H26" i="38"/>
  <c r="G27" i="38"/>
  <c r="H27" i="38"/>
  <c r="G28" i="38"/>
  <c r="H28" i="38"/>
  <c r="G29" i="38"/>
  <c r="H29" i="38"/>
  <c r="G30" i="38"/>
  <c r="H30" i="38"/>
  <c r="G31" i="38"/>
  <c r="H31" i="38"/>
  <c r="G32" i="38"/>
  <c r="H32" i="38"/>
  <c r="S17" i="38"/>
  <c r="K17" i="38"/>
  <c r="H28" i="65" s="1"/>
  <c r="I28" i="65" s="1"/>
  <c r="O17" i="38"/>
  <c r="K28" i="65" s="1"/>
  <c r="Q17" i="38"/>
  <c r="R17" i="38"/>
  <c r="Q26" i="65" s="1"/>
  <c r="R26" i="65" s="1"/>
  <c r="I17" i="38"/>
  <c r="T16" i="38"/>
  <c r="F17" i="38"/>
  <c r="G9" i="15"/>
  <c r="F9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J16" i="38" s="1"/>
  <c r="H16" i="38" s="1"/>
  <c r="E9" i="15"/>
  <c r="I16" i="38" s="1"/>
  <c r="E9" i="17"/>
  <c r="H12" i="40" s="1"/>
  <c r="G35" i="65" s="1"/>
  <c r="D9" i="17"/>
  <c r="F12" i="40" s="1"/>
  <c r="H9" i="15"/>
  <c r="D9" i="15"/>
  <c r="O29" i="40" l="1"/>
  <c r="D57" i="40"/>
  <c r="E94" i="40" s="1"/>
  <c r="G67" i="65"/>
  <c r="H8" i="42"/>
  <c r="H51" i="65" s="1"/>
  <c r="H39" i="42"/>
  <c r="F47" i="65"/>
  <c r="AN4" i="67" s="1"/>
  <c r="AN5" i="67" s="1"/>
  <c r="H33" i="40"/>
  <c r="H29" i="40" s="1"/>
  <c r="F79" i="47"/>
  <c r="M81" i="65"/>
  <c r="F72" i="65"/>
  <c r="AZ4" i="67" s="1"/>
  <c r="AZ5" i="67" s="1"/>
  <c r="F32" i="65"/>
  <c r="AI4" i="67" s="1"/>
  <c r="AI5" i="67" s="1"/>
  <c r="F64" i="65"/>
  <c r="AV4" i="67" s="1"/>
  <c r="AV5" i="67" s="1"/>
  <c r="G87" i="40"/>
  <c r="S16" i="38"/>
  <c r="F13" i="65"/>
  <c r="Z4" i="67" s="1"/>
  <c r="Z5" i="67" s="1"/>
  <c r="J60" i="47"/>
  <c r="G60" i="47"/>
  <c r="E79" i="47"/>
  <c r="P33" i="40"/>
  <c r="P29" i="40" s="1"/>
  <c r="G85" i="65" s="1"/>
  <c r="F93" i="65" s="1"/>
  <c r="H5" i="67" s="1"/>
  <c r="L28" i="65"/>
  <c r="G81" i="65"/>
  <c r="J81" i="65" s="1"/>
  <c r="L81" i="65" s="1"/>
  <c r="J12" i="65"/>
  <c r="K5" i="67"/>
  <c r="H88" i="65"/>
  <c r="G53" i="47"/>
  <c r="G40" i="47"/>
  <c r="J59" i="65"/>
  <c r="J39" i="42"/>
  <c r="K39" i="42"/>
  <c r="I20" i="65"/>
  <c r="J24" i="47"/>
  <c r="H42" i="47"/>
  <c r="J40" i="47"/>
  <c r="I79" i="47"/>
  <c r="J76" i="47"/>
  <c r="F60" i="65"/>
  <c r="AT4" i="67" s="1"/>
  <c r="AT5" i="67" s="1"/>
  <c r="F68" i="65"/>
  <c r="AX4" i="67" s="1"/>
  <c r="AX5" i="67" s="1"/>
  <c r="F56" i="65"/>
  <c r="AR4" i="67" s="1"/>
  <c r="AR5" i="67" s="1"/>
  <c r="G51" i="65"/>
  <c r="F35" i="65"/>
  <c r="AJ4" i="67" s="1"/>
  <c r="AJ5" i="67" s="1"/>
  <c r="F70" i="65"/>
  <c r="AY4" i="67" s="1"/>
  <c r="AY5" i="67" s="1"/>
  <c r="F62" i="65"/>
  <c r="AU4" i="67" s="1"/>
  <c r="AU5" i="67" s="1"/>
  <c r="F52" i="65"/>
  <c r="AP4" i="67" s="1"/>
  <c r="AP5" i="67" s="1"/>
  <c r="F58" i="65"/>
  <c r="AS4" i="67" s="1"/>
  <c r="AS5" i="67" s="1"/>
  <c r="F15" i="65"/>
  <c r="P4" i="67" s="1"/>
  <c r="P5" i="67" s="1"/>
  <c r="I10" i="65"/>
  <c r="D33" i="40"/>
  <c r="E86" i="40" s="1"/>
  <c r="I33" i="65"/>
  <c r="L29" i="40"/>
  <c r="D29" i="40" s="1"/>
  <c r="D28" i="40" s="1"/>
  <c r="E78" i="40"/>
  <c r="R28" i="65"/>
  <c r="M17" i="38"/>
  <c r="H26" i="65" s="1"/>
  <c r="I26" i="65" s="1"/>
  <c r="H30" i="65"/>
  <c r="G12" i="40"/>
  <c r="J11" i="40"/>
  <c r="N28" i="65"/>
  <c r="O28" i="65" s="1"/>
  <c r="H17" i="38"/>
  <c r="E57" i="40"/>
  <c r="G94" i="40" s="1"/>
  <c r="M29" i="40"/>
  <c r="G31" i="65"/>
  <c r="F31" i="65" s="1"/>
  <c r="AH4" i="67" s="1"/>
  <c r="AH5" i="67" s="1"/>
  <c r="G16" i="38"/>
  <c r="I63" i="65"/>
  <c r="G39" i="42"/>
  <c r="E27" i="42"/>
  <c r="G75" i="65" s="1"/>
  <c r="F74" i="65" s="1"/>
  <c r="BA4" i="67" s="1"/>
  <c r="BA5" i="67" s="1"/>
  <c r="G15" i="40"/>
  <c r="G13" i="40"/>
  <c r="G11" i="40"/>
  <c r="G8" i="42"/>
  <c r="H43" i="65"/>
  <c r="J43" i="65"/>
  <c r="N26" i="65"/>
  <c r="F23" i="40"/>
  <c r="H18" i="38"/>
  <c r="E24" i="47"/>
  <c r="G9" i="47"/>
  <c r="G88" i="65" s="1"/>
  <c r="H90" i="65"/>
  <c r="I90" i="65" s="1"/>
  <c r="N81" i="65"/>
  <c r="I18" i="65"/>
  <c r="J18" i="65" s="1"/>
  <c r="L18" i="65" s="1"/>
  <c r="F17" i="65" s="1"/>
  <c r="AA4" i="67" s="1"/>
  <c r="AA5" i="67" s="1"/>
  <c r="G22" i="65"/>
  <c r="I42" i="47"/>
  <c r="J90" i="65"/>
  <c r="K18" i="65"/>
  <c r="H37" i="65"/>
  <c r="K26" i="65"/>
  <c r="L26" i="65" s="1"/>
  <c r="N29" i="40"/>
  <c r="D62" i="40"/>
  <c r="I24" i="65"/>
  <c r="H60" i="38"/>
  <c r="I57" i="40"/>
  <c r="F62" i="40"/>
  <c r="G8" i="40"/>
  <c r="K11" i="40"/>
  <c r="G46" i="65"/>
  <c r="G16" i="40"/>
  <c r="D34" i="40"/>
  <c r="J79" i="65"/>
  <c r="J13" i="47"/>
  <c r="J88" i="65" s="1"/>
  <c r="J53" i="47"/>
  <c r="H79" i="47"/>
  <c r="F66" i="65"/>
  <c r="AW4" i="67" s="1"/>
  <c r="AW5" i="67" s="1"/>
  <c r="F54" i="65"/>
  <c r="AQ4" i="67" s="1"/>
  <c r="AQ5" i="67" s="1"/>
  <c r="F36" i="65"/>
  <c r="AK4" i="67" s="1"/>
  <c r="AK5" i="67" s="1"/>
  <c r="F5" i="65"/>
  <c r="E85" i="40" l="1"/>
  <c r="F86" i="40" s="1"/>
  <c r="E33" i="40"/>
  <c r="G86" i="40" s="1"/>
  <c r="G79" i="47"/>
  <c r="H7" i="65" s="1"/>
  <c r="I88" i="65"/>
  <c r="I51" i="65"/>
  <c r="F50" i="65" s="1"/>
  <c r="AO4" i="67" s="1"/>
  <c r="AO5" i="67" s="1"/>
  <c r="G17" i="38"/>
  <c r="H10" i="65" s="1"/>
  <c r="J10" i="65" s="1"/>
  <c r="G30" i="65"/>
  <c r="I30" i="65" s="1"/>
  <c r="K59" i="65"/>
  <c r="J42" i="47"/>
  <c r="I7" i="65" s="1"/>
  <c r="O81" i="65"/>
  <c r="H83" i="65" s="1"/>
  <c r="J79" i="47"/>
  <c r="M43" i="65"/>
  <c r="F94" i="40"/>
  <c r="F90" i="40"/>
  <c r="I22" i="65"/>
  <c r="F21" i="65" s="1"/>
  <c r="AC4" i="67" s="1"/>
  <c r="AC5" i="67" s="1"/>
  <c r="J20" i="65"/>
  <c r="K20" i="65" s="1"/>
  <c r="F19" i="65" s="1"/>
  <c r="AB4" i="67" s="1"/>
  <c r="AB5" i="67" s="1"/>
  <c r="G90" i="40"/>
  <c r="F76" i="65" s="1"/>
  <c r="S4" i="67" s="1"/>
  <c r="S5" i="67" s="1"/>
  <c r="L88" i="65"/>
  <c r="G86" i="65"/>
  <c r="F87" i="65" s="1"/>
  <c r="N4" i="67" s="1"/>
  <c r="N5" i="67" s="1"/>
  <c r="H86" i="65"/>
  <c r="F89" i="65" s="1"/>
  <c r="O4" i="67" s="1"/>
  <c r="O5" i="67" s="1"/>
  <c r="L90" i="65"/>
  <c r="G24" i="65"/>
  <c r="O26" i="65"/>
  <c r="F89" i="40"/>
  <c r="F95" i="40"/>
  <c r="F87" i="40"/>
  <c r="F85" i="40"/>
  <c r="F88" i="40"/>
  <c r="E39" i="42"/>
  <c r="F57" i="40"/>
  <c r="I94" i="40" s="1"/>
  <c r="I29" i="40"/>
  <c r="F29" i="40" s="1"/>
  <c r="N43" i="65"/>
  <c r="O43" i="65"/>
  <c r="E42" i="47"/>
  <c r="G42" i="47" s="1"/>
  <c r="G7" i="65" s="1"/>
  <c r="G24" i="47"/>
  <c r="F20" i="40"/>
  <c r="G23" i="40" s="1"/>
  <c r="H24" i="65"/>
  <c r="K24" i="65" s="1"/>
  <c r="F24" i="65" s="1"/>
  <c r="H46" i="65"/>
  <c r="F45" i="65" s="1"/>
  <c r="AM4" i="67" s="1"/>
  <c r="AM5" i="67" s="1"/>
  <c r="H23" i="40"/>
  <c r="E29" i="40"/>
  <c r="E28" i="40" s="1"/>
  <c r="H39" i="65" s="1"/>
  <c r="G83" i="65" l="1"/>
  <c r="J83" i="65" s="1"/>
  <c r="H7" i="40"/>
  <c r="G85" i="40"/>
  <c r="H86" i="40" s="1"/>
  <c r="L10" i="65"/>
  <c r="F9" i="65"/>
  <c r="X4" i="67" s="1"/>
  <c r="X5" i="67" s="1"/>
  <c r="J7" i="65"/>
  <c r="F6" i="65" s="1"/>
  <c r="L4" i="67" s="1"/>
  <c r="L5" i="67" s="1"/>
  <c r="F8" i="65"/>
  <c r="M4" i="67" s="1"/>
  <c r="M5" i="67" s="1"/>
  <c r="AD4" i="67"/>
  <c r="AD5" i="67" s="1"/>
  <c r="F25" i="65"/>
  <c r="AE4" i="67" s="1"/>
  <c r="AE5" i="67" s="1"/>
  <c r="F29" i="65"/>
  <c r="AG4" i="67" s="1"/>
  <c r="AG5" i="67" s="1"/>
  <c r="F27" i="65"/>
  <c r="F42" i="65"/>
  <c r="AL4" i="67" s="1"/>
  <c r="AL5" i="67" s="1"/>
  <c r="H20" i="40"/>
  <c r="G22" i="40"/>
  <c r="G21" i="40"/>
  <c r="J94" i="40"/>
  <c r="I85" i="40"/>
  <c r="H85" i="65"/>
  <c r="H95" i="40" l="1"/>
  <c r="H90" i="40"/>
  <c r="I15" i="40"/>
  <c r="I16" i="40"/>
  <c r="I13" i="40"/>
  <c r="I8" i="40"/>
  <c r="I11" i="40"/>
  <c r="K12" i="65"/>
  <c r="G39" i="65"/>
  <c r="I12" i="40"/>
  <c r="H87" i="40"/>
  <c r="L12" i="65"/>
  <c r="H89" i="40"/>
  <c r="H88" i="40"/>
  <c r="H85" i="40"/>
  <c r="H94" i="40"/>
  <c r="H41" i="65"/>
  <c r="F78" i="65"/>
  <c r="AF4" i="67"/>
  <c r="AF5" i="67" s="1"/>
  <c r="L7" i="67" s="1"/>
  <c r="I7" i="67"/>
  <c r="G20" i="40"/>
  <c r="I22" i="40"/>
  <c r="I21" i="40"/>
  <c r="F92" i="65"/>
  <c r="G5" i="67" s="1"/>
  <c r="F94" i="65"/>
  <c r="I5" i="67" s="1"/>
  <c r="I85" i="65"/>
  <c r="J87" i="40"/>
  <c r="J85" i="40"/>
  <c r="J86" i="40"/>
  <c r="J88" i="40"/>
  <c r="I23" i="40"/>
  <c r="G41" i="65" l="1"/>
  <c r="I41" i="65" s="1"/>
  <c r="F40" i="65" s="1"/>
  <c r="W4" i="67" s="1"/>
  <c r="W5" i="67" s="1"/>
  <c r="I39" i="65"/>
  <c r="F38" i="65" s="1"/>
  <c r="Q4" i="67" s="1"/>
  <c r="Q5" i="67" s="1"/>
  <c r="M12" i="65"/>
  <c r="F11" i="65" s="1"/>
  <c r="Y4" i="67" s="1"/>
  <c r="Y5" i="67" s="1"/>
  <c r="F80" i="65"/>
  <c r="T4" i="67"/>
  <c r="T5" i="67" s="1"/>
  <c r="I20" i="40"/>
  <c r="U4" i="67" l="1"/>
  <c r="U5" i="67" s="1"/>
  <c r="F82" i="65"/>
  <c r="V4" i="67" l="1"/>
  <c r="V5" i="67" s="1"/>
  <c r="F84" i="65"/>
  <c r="R4" i="67" s="1"/>
  <c r="R5" i="67" s="1"/>
  <c r="F7" i="67" l="1"/>
  <c r="C7" i="67"/>
  <c r="U7" i="67" l="1"/>
  <c r="E5" i="67" s="1"/>
  <c r="J2" i="6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Ирина Романова</author>
  </authors>
  <commentList>
    <comment ref="C78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
За умови що  № 7.1 і №8, №9 без помилок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Загрядська Олена Валеріївна</author>
  </authors>
  <commentList>
    <comment ref="F24" authorId="0" shapeId="0" xr:uid="{00000000-0006-0000-0400-000001000000}">
      <text>
        <r>
          <rPr>
            <sz val="11"/>
            <color indexed="81"/>
            <rFont val="Tahoma"/>
            <family val="2"/>
            <charset val="204"/>
          </rPr>
          <t>Головний лікар та його заступники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 xml:space="preserve">
головний бухгалтер, головний кадровик, головна медична сестра, завгосп, головний інженер, головний статистик…..
</t>
        </r>
      </text>
    </comment>
    <comment ref="H25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керівники ФАП та амбулаторій, завідувачі відділень...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психолог, логопед, біолог, реабілітолог…..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<sst xmlns="http://schemas.openxmlformats.org/spreadsheetml/2006/main" count="1311" uniqueCount="735">
  <si>
    <t>Ідентифікаційний код ЄДРПОУ</t>
  </si>
  <si>
    <t>код КОПФГ</t>
  </si>
  <si>
    <t>Термін подання</t>
  </si>
  <si>
    <t>№ 1-НС (щоквартальна)</t>
  </si>
  <si>
    <t>Повне найменування суб’єкта господарювання</t>
  </si>
  <si>
    <t>Електронна пошта</t>
  </si>
  <si>
    <t>№ з/п</t>
  </si>
  <si>
    <t>Найменування показника</t>
  </si>
  <si>
    <t>Звітний період</t>
  </si>
  <si>
    <t>1</t>
  </si>
  <si>
    <t>Від надання медичних та немедичних послуг за кошти фізичних і юридичних осіб</t>
  </si>
  <si>
    <t>Від отримання страхових виплат</t>
  </si>
  <si>
    <t>Від надання майна в оренду</t>
  </si>
  <si>
    <t>Благодійна допомога</t>
  </si>
  <si>
    <t xml:space="preserve">Інші надходження </t>
  </si>
  <si>
    <t>Лікарі</t>
  </si>
  <si>
    <t>Середній медичний персонал</t>
  </si>
  <si>
    <t>Молодший медичний персонал</t>
  </si>
  <si>
    <t>Нарахування на оплату праці</t>
  </si>
  <si>
    <t>Матеріальні витрати</t>
  </si>
  <si>
    <t>Лікарські засоби</t>
  </si>
  <si>
    <t xml:space="preserve">Продукти харчування </t>
  </si>
  <si>
    <t>Будівельні матеріали</t>
  </si>
  <si>
    <t>Паливно-мастильні матеріали</t>
  </si>
  <si>
    <t>М’який інвентар</t>
  </si>
  <si>
    <t>Господарські матеріали</t>
  </si>
  <si>
    <t>Предмети, матеріали та інвентар</t>
  </si>
  <si>
    <t>Поточний ремонт медичного обладнання</t>
  </si>
  <si>
    <t>Поточний ремонт приміщень</t>
  </si>
  <si>
    <t>Інші операційні витрати</t>
  </si>
  <si>
    <t>Видатки на відрядження</t>
  </si>
  <si>
    <t>Підготовка (перепідготовка) кадрів  та підвищення кваліфікації</t>
  </si>
  <si>
    <t>Зовнішні послуги з медичної допомоги</t>
  </si>
  <si>
    <t>Зв'язок, інтернет</t>
  </si>
  <si>
    <t xml:space="preserve">Інші послуги </t>
  </si>
  <si>
    <t xml:space="preserve">Керівники </t>
  </si>
  <si>
    <t>Керівники структурних підрозділів</t>
  </si>
  <si>
    <t>Соціальне забезпечення</t>
  </si>
  <si>
    <t>Амортизація</t>
  </si>
  <si>
    <t>осіб</t>
  </si>
  <si>
    <t>№з/п</t>
  </si>
  <si>
    <t>Середня кількість працівників, всього, у тому числі</t>
  </si>
  <si>
    <t>середня кількість зовнішніх сумісників</t>
  </si>
  <si>
    <t>середня кількість працюючих за цивільно-правовими договорами</t>
  </si>
  <si>
    <t>Малоцінні швидкозношувані предмети</t>
  </si>
  <si>
    <t>Пожежна охорона</t>
  </si>
  <si>
    <t>Інші матеріальні витрати</t>
  </si>
  <si>
    <t>Податки</t>
  </si>
  <si>
    <t>Банківське обслуговування</t>
  </si>
  <si>
    <t>Інші витрати</t>
  </si>
  <si>
    <t>Запаси</t>
  </si>
  <si>
    <t>Купівельні напівфабрикати та комплектуючі вироби</t>
  </si>
  <si>
    <t>Тара й тарні матеріали</t>
  </si>
  <si>
    <t>Матеріали, передані в переробку</t>
  </si>
  <si>
    <t>Запасні частини</t>
  </si>
  <si>
    <t>Інші матеріали</t>
  </si>
  <si>
    <t>Доходи майбутніх періодів</t>
  </si>
  <si>
    <t>Охорона</t>
  </si>
  <si>
    <t>Неопераційні витрати</t>
  </si>
  <si>
    <t>Код рядка</t>
  </si>
  <si>
    <t xml:space="preserve"> 2.1</t>
  </si>
  <si>
    <t xml:space="preserve"> 2.2</t>
  </si>
  <si>
    <t xml:space="preserve"> 2.1.1</t>
  </si>
  <si>
    <t xml:space="preserve"> 2.1.2</t>
  </si>
  <si>
    <t xml:space="preserve"> 2.1.3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</si>
  <si>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</si>
  <si>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</si>
  <si>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</si>
  <si>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</si>
  <si>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</si>
  <si>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</si>
  <si>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</si>
  <si>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3.1</t>
  </si>
  <si>
    <t xml:space="preserve"> 3.2</t>
  </si>
  <si>
    <t xml:space="preserve"> 3.3</t>
  </si>
  <si>
    <t xml:space="preserve"> 3.4</t>
  </si>
  <si>
    <t xml:space="preserve"> 3.1.1</t>
  </si>
  <si>
    <t xml:space="preserve"> 3.1.2</t>
  </si>
  <si>
    <t xml:space="preserve"> 3.1.3</t>
  </si>
  <si>
    <t xml:space="preserve"> 3.2.1</t>
  </si>
  <si>
    <t xml:space="preserve"> 3.2.2</t>
  </si>
  <si>
    <t xml:space="preserve"> 3.2.3</t>
  </si>
  <si>
    <t xml:space="preserve"> 3.4.1</t>
  </si>
  <si>
    <t xml:space="preserve"> 3.4.2</t>
  </si>
  <si>
    <t>грошові кошти</t>
  </si>
  <si>
    <t>ресурсне забезпечення (крім грошових коштів)</t>
  </si>
  <si>
    <t>2</t>
  </si>
  <si>
    <t xml:space="preserve"> 2.1.4</t>
  </si>
  <si>
    <t xml:space="preserve"> 2.1.5</t>
  </si>
  <si>
    <t xml:space="preserve">Місцезнаходження (юридична адреса)
______________________________________________________________________________________________________________________________________________________
№ будинку /корпусу, № квартири /офісу)
</t>
  </si>
  <si>
    <t>Адреса здійснення діяльності, щодо якої подається форма звітності (фактична адреса)</t>
  </si>
  <si>
    <t>Відповідний період минулого року</t>
  </si>
  <si>
    <t>№ 
з/п</t>
  </si>
  <si>
    <t>1.1.</t>
  </si>
  <si>
    <t>1.2.</t>
  </si>
  <si>
    <t>1.3.</t>
  </si>
  <si>
    <t>Вироби медичного призначення та допоміжні засоби слуху, зору, руху, засоби протезування для кардіології, ендопротезів, інші протези тощо</t>
  </si>
  <si>
    <t>Імунобіологічні препарати, лікувальне харчування</t>
  </si>
  <si>
    <t>номер телефону виконавця</t>
  </si>
  <si>
    <t>Дохід від реалізаціі, всього</t>
  </si>
  <si>
    <t>Аванси</t>
  </si>
  <si>
    <t>Оплати</t>
  </si>
  <si>
    <t>Актив</t>
  </si>
  <si>
    <t>На початок звітного періоду</t>
  </si>
  <si>
    <t>На кінець звітного періоду</t>
  </si>
  <si>
    <t>Нематеріальні активи</t>
  </si>
  <si>
    <t xml:space="preserve">    первісна вартість 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</si>
  <si>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</si>
  <si>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</si>
  <si>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</si>
  <si>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</si>
  <si>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</si>
  <si>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</si>
  <si>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</si>
  <si>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</si>
  <si>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</si>
  <si>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</si>
  <si>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Поточні біологічні активи </t>
  </si>
  <si>
    <t>Дебіторська заборгованість за продукцію, товари, роботи, послуги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</si>
  <si>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</si>
  <si>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</si>
  <si>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</si>
  <si>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 xml:space="preserve">Поточні фінансові інвестиції </t>
  </si>
  <si>
    <t xml:space="preserve">Гроші та їх еквіваленти </t>
  </si>
  <si>
    <t>Витрати майбутніх періодів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</si>
  <si>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</si>
  <si>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</si>
  <si>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</si>
  <si>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</si>
  <si>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t>Пасив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</si>
  <si>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</si>
  <si>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</si>
  <si>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</si>
  <si>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</si>
  <si>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</si>
  <si>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 xml:space="preserve">Вилучений капітал </t>
  </si>
  <si>
    <t>Усього за розділом I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</si>
  <si>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</si>
  <si>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</si>
  <si>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</si>
  <si>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</si>
  <si>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Цільове фінансування </t>
  </si>
  <si>
    <t>Усього за розділом II</t>
  </si>
  <si>
    <t xml:space="preserve">Короткострокові кредити банків </t>
  </si>
  <si>
    <t xml:space="preserve">    довгостроковими зобов’язаннями </t>
  </si>
  <si>
    <t xml:space="preserve">    розрахунками з бюджетом</t>
  </si>
  <si>
    <t xml:space="preserve">    розрахунками зі страхування</t>
  </si>
  <si>
    <t>Поточні забезпечення</t>
  </si>
  <si>
    <t>Інші поточні зобов’язання</t>
  </si>
  <si>
    <t>Усього за розділом IІІ</t>
  </si>
  <si>
    <t xml:space="preserve">    у тому числі розрахунки з держaвними цільовими фондами</t>
  </si>
  <si>
    <t>Інша поточна дебіторська заборгованість</t>
  </si>
  <si>
    <t xml:space="preserve">    товари, роботи, послуги</t>
  </si>
  <si>
    <t>за депонентами</t>
  </si>
  <si>
    <t>за іншими виплатами</t>
  </si>
  <si>
    <t xml:space="preserve">    розрахунками з оплати праці, у тому числі</t>
  </si>
  <si>
    <t xml:space="preserve">    у тому числі за ПМГ</t>
  </si>
  <si>
    <t>Послуги з харчування</t>
  </si>
  <si>
    <t>Послуги з прання</t>
  </si>
  <si>
    <t>Інший поточний ремонт</t>
  </si>
  <si>
    <t>Поточний ремонт ліфти, оргтехніка, ПК</t>
  </si>
  <si>
    <t>ТО медобладнання</t>
  </si>
  <si>
    <t>Заробітна плата</t>
  </si>
  <si>
    <t>ТО/обслуговування ННМА (ППЗ)</t>
  </si>
  <si>
    <t>ТО ліфти, ПК, оргтехніка, телефони</t>
  </si>
  <si>
    <t>Поточний ремонт Авто</t>
  </si>
  <si>
    <t>Поточний ремонт</t>
  </si>
  <si>
    <t>Страхування</t>
  </si>
  <si>
    <t>ТО/сервісне обслуговування/поверка  НМА</t>
  </si>
  <si>
    <t xml:space="preserve"> 1.1.1.1</t>
  </si>
  <si>
    <t xml:space="preserve"> 1.</t>
  </si>
  <si>
    <t xml:space="preserve"> 1.1</t>
  </si>
  <si>
    <t xml:space="preserve"> 1.1.1</t>
  </si>
  <si>
    <t xml:space="preserve"> 1.1.1.2</t>
  </si>
  <si>
    <t xml:space="preserve"> 1.1.1.3</t>
  </si>
  <si>
    <t xml:space="preserve"> 1.1.1.4</t>
  </si>
  <si>
    <t xml:space="preserve"> 1.1.1.5</t>
  </si>
  <si>
    <t xml:space="preserve"> 1.1.1.6</t>
  </si>
  <si>
    <t xml:space="preserve"> 1.1.2</t>
  </si>
  <si>
    <t xml:space="preserve"> 1.1.3</t>
  </si>
  <si>
    <t xml:space="preserve"> 1.1.4</t>
  </si>
  <si>
    <t xml:space="preserve"> 1.1.4.1</t>
  </si>
  <si>
    <t xml:space="preserve"> 1.1.4.1.1</t>
  </si>
  <si>
    <t xml:space="preserve"> 1.1.4.1.2</t>
  </si>
  <si>
    <t xml:space="preserve"> 1.1.4.1.3</t>
  </si>
  <si>
    <t xml:space="preserve"> 1.1.4.1.4</t>
  </si>
  <si>
    <t>Медикаменти та перев'язувальні матеріали</t>
  </si>
  <si>
    <t xml:space="preserve"> 1.1.4.2</t>
  </si>
  <si>
    <t xml:space="preserve"> 1.1.4.3</t>
  </si>
  <si>
    <t xml:space="preserve"> 1.1.4.4</t>
  </si>
  <si>
    <t xml:space="preserve"> 1.1.4.5</t>
  </si>
  <si>
    <t xml:space="preserve"> 1.1.4.6</t>
  </si>
  <si>
    <t xml:space="preserve"> 1.1.4.7</t>
  </si>
  <si>
    <t xml:space="preserve"> 1.1.4.8</t>
  </si>
  <si>
    <t xml:space="preserve"> 1.1.4.9</t>
  </si>
  <si>
    <t xml:space="preserve"> 1.1.4.10</t>
  </si>
  <si>
    <t xml:space="preserve"> 1.1.4.11</t>
  </si>
  <si>
    <t xml:space="preserve"> 1.1.4.12</t>
  </si>
  <si>
    <t xml:space="preserve"> 1.1.5</t>
  </si>
  <si>
    <t xml:space="preserve"> 1.2</t>
  </si>
  <si>
    <t>Статті витрат</t>
  </si>
  <si>
    <t>Поточний ремогт ННМА (ППЗ)</t>
  </si>
  <si>
    <t>https://zakon.rada.gov.ua/laws/show/z1442-05</t>
  </si>
  <si>
    <t xml:space="preserve">З обласного, районного та бюджету місцевого самоврядування </t>
  </si>
  <si>
    <t xml:space="preserve"> 1.1.1.1.1</t>
  </si>
  <si>
    <t xml:space="preserve"> 1.1.1.2.1</t>
  </si>
  <si>
    <t xml:space="preserve"> 1.1.1.3.1</t>
  </si>
  <si>
    <t xml:space="preserve"> 1.1.1.4.1</t>
  </si>
  <si>
    <t xml:space="preserve"> 1.1.1.5.1</t>
  </si>
  <si>
    <t xml:space="preserve"> 1.1.1.6.1</t>
  </si>
  <si>
    <t>Матеріальні витрати </t>
  </si>
  <si>
    <t>Витрати на оплату праці </t>
  </si>
  <si>
    <t>Відрахування на соціальні заходи </t>
  </si>
  <si>
    <t>Амортизація 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</si>
  <si>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</si>
  <si>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</si>
  <si>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</si>
  <si>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Інші операційні витрати </t>
  </si>
  <si>
    <t>Надходження, всього</t>
  </si>
  <si>
    <t>Придбання ТМЦ, всього, у тому числі</t>
  </si>
  <si>
    <t>Сировина й матеріали, у тому числі</t>
  </si>
  <si>
    <t>Капітальні інвестиції, всього, у тому числі</t>
  </si>
  <si>
    <t xml:space="preserve">Капітальне будівництво, у тому числі </t>
  </si>
  <si>
    <t xml:space="preserve">Модернізація, модифікація (добудова, реконструкція) </t>
  </si>
  <si>
    <t>Капітальний ремонт</t>
  </si>
  <si>
    <t xml:space="preserve">Основні засоби,  у тому числі </t>
  </si>
  <si>
    <t>Придбання (виготовлення) основних засобів</t>
  </si>
  <si>
    <t>Модернізація, модифікація основних засобів</t>
  </si>
  <si>
    <t>Капітальний ремонт основних засобів</t>
  </si>
  <si>
    <t>Придбання (виготовлення) інших необоротних матеріальних активів</t>
  </si>
  <si>
    <t xml:space="preserve">ННМА, всього, у тому числі </t>
  </si>
  <si>
    <t>Придбання (створення) необоротних нематеріальних активів</t>
  </si>
  <si>
    <t>Модернізація, модифікація  ННМА</t>
  </si>
  <si>
    <t>З державного бюджету (в т.ч. централізовані закупівлі, тощо)</t>
  </si>
  <si>
    <t>Подають</t>
  </si>
  <si>
    <t>Готової продукції</t>
  </si>
  <si>
    <t>Товарів </t>
  </si>
  <si>
    <t>Оплата комунальних послуг та інших  енергоносіїв  (тепло, електроенергія, вода, інше)</t>
  </si>
  <si>
    <t>4.1.</t>
  </si>
  <si>
    <t>4.1.1.</t>
  </si>
  <si>
    <t>4.1.2.</t>
  </si>
  <si>
    <t>4.1.3.</t>
  </si>
  <si>
    <t>4.1.3.1.</t>
  </si>
  <si>
    <t>Роботи та послуги (з додатка Доходи ПМГ)</t>
  </si>
  <si>
    <t>Відрахування з доходу</t>
  </si>
  <si>
    <t>4.1.4.</t>
  </si>
  <si>
    <t xml:space="preserve">Інші надходження, всього </t>
  </si>
  <si>
    <t>Витрати за елементами, всього, у тому числі </t>
  </si>
  <si>
    <t xml:space="preserve">номер телефону керівника (власника) та/або особи, відповідальної за достовірність наданої інформації                                                                                     </t>
  </si>
  <si>
    <t xml:space="preserve">ПІБ керівника (власника) та/або особи, відповідальної за достовірність наданої інформації     </t>
  </si>
  <si>
    <t xml:space="preserve">ПІБ виконавця   </t>
  </si>
  <si>
    <t>електронна пошта виконавця</t>
  </si>
  <si>
    <t>ТО, сервісне обслуговування авто</t>
  </si>
  <si>
    <t>Інші працівники</t>
  </si>
  <si>
    <t>за заробітною платою</t>
  </si>
  <si>
    <t>Інше ТО та обслуговування</t>
  </si>
  <si>
    <t xml:space="preserve">щокварталу не пізніше 20-го числа місяця, наступного за звітним періодом </t>
  </si>
  <si>
    <t>Виробнича собівартість, всього, у тому числі</t>
  </si>
  <si>
    <t>Додаток до звіту про доходи та витрати
Надходження ПМГ</t>
  </si>
  <si>
    <t>Первинна медична допомога</t>
  </si>
  <si>
    <t>Екстрена медична допомога</t>
  </si>
  <si>
    <t>номер пакету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</si>
  <si>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</si>
  <si>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</si>
  <si>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гострому мозковому інсульті в стаціонарних умовах</t>
  </si>
  <si>
    <t>Медична допомога при гострому інфаркті міокарда</t>
  </si>
  <si>
    <t>Амбулаторна вторинна (спеціалізована) та третинна (високоспеціалізована) медична допомога дорослим та дітям, включаючи медичну реабілітацію та стоматологічну допомогу</t>
  </si>
  <si>
    <t xml:space="preserve">Мамографія </t>
  </si>
  <si>
    <t>Гістероскопія</t>
  </si>
  <si>
    <t>Езофагодуоденоскопія</t>
  </si>
  <si>
    <t>Колоноскопія</t>
  </si>
  <si>
    <t>Цистосокія</t>
  </si>
  <si>
    <t>Бронхоскопія</t>
  </si>
  <si>
    <t>Лікування пацієнтів методом екстракорпорального гемодіалізу в амбулаторних умовах</t>
  </si>
  <si>
    <t>Діагностика та хіміотерапевтичне лікування онкологічних захворювань у дорослих та дітей</t>
  </si>
  <si>
    <t>Діагностика та радіологічне лікування онкологічних захворювань у дорослих та дітей</t>
  </si>
  <si>
    <t>Психіатрична допомога дорослим та дітям</t>
  </si>
  <si>
    <t>Лікування дорослих та дітей із туберкульозом</t>
  </si>
  <si>
    <t>Діагностика, лікування та супровід осіб із ВІЛ</t>
  </si>
  <si>
    <t>Лікування осіб із психічними та поведінковими розладами внаслідок вживання опіоїдів із використанням препаратів замісної підтримувальної терапії</t>
  </si>
  <si>
    <t>Стаціонарна паліативна медична допомога дорослим та дітям</t>
  </si>
  <si>
    <t>Мобільна паліативна медична допомога дорослим і дітям</t>
  </si>
  <si>
    <t>Медична реабілітація немовлят, які народилися передчасно та/або хворими, протягом перших трьох років життя</t>
  </si>
  <si>
    <t>Медична реабілітація дорослих та дітей від трьох років з ураженням опорно-рухового апарату</t>
  </si>
  <si>
    <t>Медична реабілітація дорослих та дітей від трьох років з ураженням нервової системи</t>
  </si>
  <si>
    <t>Медична допомога при пологах</t>
  </si>
  <si>
    <t>Медична допомога новонародженим у складних неонатальних випадках</t>
  </si>
  <si>
    <t>Додаток до звіту про доходи та витрати
Доходи ПМГ</t>
  </si>
  <si>
    <t>Доходи, всього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</si>
  <si>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</si>
  <si>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</si>
  <si>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</si>
  <si>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</si>
  <si>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</si>
  <si>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</si>
  <si>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</si>
  <si>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</si>
  <si>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</si>
  <si>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</si>
  <si>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</si>
  <si>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</si>
  <si>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</si>
  <si>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</si>
  <si>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</si>
  <si>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</si>
  <si>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</si>
  <si>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</si>
  <si>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</si>
  <si>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</si>
  <si>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</si>
  <si>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</si>
  <si>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</si>
  <si>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</si>
  <si>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</si>
  <si>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</si>
  <si>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</si>
  <si>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>Послуги (крім комунальних)</t>
  </si>
  <si>
    <t xml:space="preserve">    накопичена амортизація (-)</t>
  </si>
  <si>
    <t xml:space="preserve">    знос (-)</t>
  </si>
  <si>
    <t>Всього</t>
  </si>
  <si>
    <t>5. Витрати, грн.</t>
  </si>
  <si>
    <t>4. Доходи, грн.</t>
  </si>
  <si>
    <t>грн.</t>
  </si>
  <si>
    <t>гривень</t>
  </si>
  <si>
    <t>Адміністративні витрати (92)</t>
  </si>
  <si>
    <t>код статті витрат</t>
  </si>
  <si>
    <t>Готова продукція</t>
  </si>
  <si>
    <t>Товари</t>
  </si>
  <si>
    <t>Роботи та послуги</t>
  </si>
  <si>
    <t>5.1.1.</t>
  </si>
  <si>
    <t>5.1.1.1</t>
  </si>
  <si>
    <t>5.1.1.2</t>
  </si>
  <si>
    <t>5.1.1.3</t>
  </si>
  <si>
    <t>Інші джерела надходжень</t>
  </si>
  <si>
    <t xml:space="preserve">Всього </t>
  </si>
  <si>
    <t>Виробничі (23) та загальновиробничі (91) витрати</t>
  </si>
  <si>
    <t>Елементи витрат</t>
  </si>
  <si>
    <t>Всього витрати</t>
  </si>
  <si>
    <t>Дб 26 Кр 23/91/94</t>
  </si>
  <si>
    <t>1.</t>
  </si>
  <si>
    <t>4</t>
  </si>
  <si>
    <t>Дохід, всього</t>
  </si>
  <si>
    <r>
      <t>Витрати (</t>
    </r>
    <r>
      <rPr>
        <sz val="14"/>
        <rFont val="Times New Roman"/>
        <family val="1"/>
        <charset val="204"/>
      </rPr>
      <t>без амортизації</t>
    </r>
    <r>
      <rPr>
        <b/>
        <sz val="14"/>
        <rFont val="Times New Roman"/>
        <family val="1"/>
        <charset val="204"/>
      </rPr>
      <t>)</t>
    </r>
  </si>
  <si>
    <r>
      <t xml:space="preserve">Операційні </t>
    </r>
    <r>
      <rPr>
        <sz val="14"/>
        <rFont val="Times New Roman"/>
        <family val="1"/>
        <charset val="204"/>
      </rPr>
      <t>(без амортизвції)</t>
    </r>
  </si>
  <si>
    <t>4.2.</t>
  </si>
  <si>
    <t>4.3.</t>
  </si>
  <si>
    <t>Місцезнаходження (юридична адреса)</t>
  </si>
  <si>
    <t xml:space="preserve">звіт формується за І, ІІ, ІІІ, IV квартали та за рік в цілому </t>
  </si>
  <si>
    <t>Нове будівництво</t>
  </si>
  <si>
    <t>I. Необоротні активи</t>
  </si>
  <si>
    <t>Довгострокові фінансові інвестиції:</t>
  </si>
  <si>
    <t>II. Довгострокові зобов’язання і забезпечення</t>
  </si>
  <si>
    <t>IІІ. Поточні зобов’язання і забезпечення</t>
  </si>
  <si>
    <t>Поточна кредиторська заборгованість за:</t>
  </si>
  <si>
    <t xml:space="preserve">II. Оборотні активи </t>
  </si>
  <si>
    <t xml:space="preserve">I. Власний капітал </t>
  </si>
  <si>
    <t xml:space="preserve">Доходи за програмою медичних гарантій за пакетами медичних послуг </t>
  </si>
  <si>
    <t>Виробничі витрати (903)</t>
  </si>
  <si>
    <t>Витрати на виготовлення продукції (для тих, хто виготовляє власну продукцію, яка потім поступає на склад)</t>
  </si>
  <si>
    <t>Надходження за програмою медичних гарантій за пакетами медичних послуг</t>
  </si>
  <si>
    <t>-</t>
  </si>
  <si>
    <t>Питома вага, %</t>
  </si>
  <si>
    <t>2.1.5.1.</t>
  </si>
  <si>
    <t xml:space="preserve">Інші матеріали, у тому числі </t>
  </si>
  <si>
    <t>засоби індивідуального захисту</t>
  </si>
  <si>
    <t>у тому числі COVID-19</t>
  </si>
  <si>
    <t>всього</t>
  </si>
  <si>
    <t>5.1.</t>
  </si>
  <si>
    <r>
      <t>ПМГ</t>
    </r>
    <r>
      <rPr>
        <sz val="16"/>
        <rFont val="Times New Roman"/>
        <family val="1"/>
        <charset val="204"/>
      </rPr>
      <t xml:space="preserve"> (додаток Надходження ПМГ)</t>
    </r>
  </si>
  <si>
    <t>продовження</t>
  </si>
  <si>
    <t>Здійснено капітальних інвестицій у розрізі надходжень</t>
  </si>
  <si>
    <t>COVID-19</t>
  </si>
  <si>
    <t xml:space="preserve">суб’єкти господарювання, що уклали договір про медичне обслуговування населення за програмою медичних гарантій </t>
  </si>
  <si>
    <t xml:space="preserve"> 1.1.5.1</t>
  </si>
  <si>
    <t xml:space="preserve"> 1.1.5.2</t>
  </si>
  <si>
    <t xml:space="preserve"> 1.1.5.3</t>
  </si>
  <si>
    <t xml:space="preserve"> 1.1.5.4</t>
  </si>
  <si>
    <t xml:space="preserve"> 1.1.5.5</t>
  </si>
  <si>
    <t xml:space="preserve"> 1.1.5.5.1</t>
  </si>
  <si>
    <t xml:space="preserve"> 1.1.5.5.2</t>
  </si>
  <si>
    <t xml:space="preserve"> 1.1.5.5.3</t>
  </si>
  <si>
    <t xml:space="preserve"> 1.1.5.5.4</t>
  </si>
  <si>
    <t xml:space="preserve"> 1.1.5.5.5</t>
  </si>
  <si>
    <t xml:space="preserve"> 1.1.5.6</t>
  </si>
  <si>
    <t xml:space="preserve"> 1.1.5.7</t>
  </si>
  <si>
    <t xml:space="preserve"> 1.1.5.8</t>
  </si>
  <si>
    <t xml:space="preserve"> 1.1.5.9</t>
  </si>
  <si>
    <t xml:space="preserve"> 1.1.5.10</t>
  </si>
  <si>
    <t xml:space="preserve"> 1.1.5.11</t>
  </si>
  <si>
    <t xml:space="preserve"> 1.1.5.12</t>
  </si>
  <si>
    <t xml:space="preserve"> 1.1.5.13</t>
  </si>
  <si>
    <t xml:space="preserve"> 1.1.5.14</t>
  </si>
  <si>
    <t xml:space="preserve"> 1.1.5.15</t>
  </si>
  <si>
    <t xml:space="preserve"> 1.1.7</t>
  </si>
  <si>
    <t xml:space="preserve"> 1.1.7.1</t>
  </si>
  <si>
    <t xml:space="preserve"> 1.1.7.2</t>
  </si>
  <si>
    <t xml:space="preserve"> 1.1.7.3</t>
  </si>
  <si>
    <t>Засоби індивідуального захисту</t>
  </si>
  <si>
    <t xml:space="preserve"> 1.1.4.11.1</t>
  </si>
  <si>
    <t xml:space="preserve"> 1.1.4.11.2</t>
  </si>
  <si>
    <t xml:space="preserve"> 1.1.4.11.3</t>
  </si>
  <si>
    <t xml:space="preserve"> 1.1.4.11.4</t>
  </si>
  <si>
    <t xml:space="preserve"> 1.1.4.11.5</t>
  </si>
  <si>
    <t xml:space="preserve"> 1.1.4.11.6</t>
  </si>
  <si>
    <t>4.1.3.2.</t>
  </si>
  <si>
    <t>Роботи та послуги COVID-19 (крім доходів з додатка Доходи ПМГ)</t>
  </si>
  <si>
    <t>6. Витрати за елементами, грн. </t>
  </si>
  <si>
    <t>6.</t>
  </si>
  <si>
    <t>6.1.</t>
  </si>
  <si>
    <t>6.2.</t>
  </si>
  <si>
    <t>6.3.</t>
  </si>
  <si>
    <t>6.4.</t>
  </si>
  <si>
    <t>6.5.</t>
  </si>
  <si>
    <t>6.6.</t>
  </si>
  <si>
    <t>Надходження/
придбання ТМЦ, всього</t>
  </si>
  <si>
    <r>
      <t>ПМГ</t>
    </r>
    <r>
      <rPr>
        <sz val="14"/>
        <rFont val="Times New Roman"/>
        <family val="1"/>
        <charset val="204"/>
      </rPr>
      <t xml:space="preserve"> </t>
    </r>
  </si>
  <si>
    <t>8. Кадри</t>
  </si>
  <si>
    <t>середньооблікова кількість штатних працівників*</t>
  </si>
  <si>
    <r>
      <t>Кількість відпрацьованих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людино-годин**</t>
    </r>
  </si>
  <si>
    <t>з них надають медичні послуги хворим по COVID-19</t>
  </si>
  <si>
    <t>Повернення 
( - )</t>
  </si>
  <si>
    <t>7. Оплата праці та соціальне забезпечення</t>
  </si>
  <si>
    <t>Кровь та її компоненти, дози, одиниць</t>
  </si>
  <si>
    <t xml:space="preserve">Давання донорами крові та/або її компонентів, дози, одиниць </t>
  </si>
  <si>
    <t>з них за  надання медичних послуг хворим по COVID-19</t>
  </si>
  <si>
    <t>№ 1-НС (квартальна)</t>
  </si>
  <si>
    <t>9. Баланс</t>
  </si>
  <si>
    <t xml:space="preserve"> ***</t>
  </si>
  <si>
    <t>ІV. Зобов’язання, пов’язані з необоротними активами,  у тому числі утримуваними для продажу та групами вибуття</t>
  </si>
  <si>
    <t>ЗВІТ ПРО ДОХОДИ ТА ВИТРАТИ за   квартал 2020 року</t>
  </si>
  <si>
    <t>Давання донорами крові та/або її компонентів ***</t>
  </si>
  <si>
    <t>Кровь та її компоненти ***</t>
  </si>
  <si>
    <t xml:space="preserve">
Капітальні інвестиції, всього</t>
  </si>
  <si>
    <t>Відповідний період минулого року 
(всього надходжень)</t>
  </si>
  <si>
    <t>6.5.1.</t>
  </si>
  <si>
    <t>6.5.2.</t>
  </si>
  <si>
    <t>6.5.3.</t>
  </si>
  <si>
    <t>6.7.</t>
  </si>
  <si>
    <t>Робіт та послуг, у тому числі</t>
  </si>
  <si>
    <t>* Інше з розділу 1</t>
  </si>
  <si>
    <t>перевірка рядка 4.1.3.</t>
  </si>
  <si>
    <t>таблиця заповнюється за умови наявності відповідної статті у розділі Придбання ТМЦ та/або у розділі Витрати</t>
  </si>
  <si>
    <t>Дебіторська заборгованість за розрахунками:</t>
  </si>
  <si>
    <t xml:space="preserve"> </t>
  </si>
  <si>
    <t>тис. грн.</t>
  </si>
  <si>
    <t xml:space="preserve"> 1.1.4.1.5</t>
  </si>
  <si>
    <t>Дезинфекційні засоби</t>
  </si>
  <si>
    <t>Матеріали сільськогосподарського призначення</t>
  </si>
  <si>
    <t>Зайняті у наданні медичних послуг</t>
  </si>
  <si>
    <t xml:space="preserve">Зайняті у наданні медичних послуг </t>
  </si>
  <si>
    <t>Інше (грошові кошти та ресурсне забезпечення) *</t>
  </si>
  <si>
    <t>ЗВІТ ПРО ДОХОДИ ТА ВИТРАТИ за квартал 2020 року</t>
  </si>
  <si>
    <t>АВТОПЕРЕВІРКА</t>
  </si>
  <si>
    <t>№ зп</t>
  </si>
  <si>
    <t>Умова перевірки</t>
  </si>
  <si>
    <t>Достатність умови</t>
  </si>
  <si>
    <t>Висновок за умови не виконання умов перевірки</t>
  </si>
  <si>
    <t>Результат перевірки</t>
  </si>
  <si>
    <t>дані для перевірки за звітний період</t>
  </si>
  <si>
    <t>Необхідна</t>
  </si>
  <si>
    <t>Доопрацювання</t>
  </si>
  <si>
    <t>активи на початок</t>
  </si>
  <si>
    <t>пасиви на початок</t>
  </si>
  <si>
    <t>активи на кінець</t>
  </si>
  <si>
    <t>пасиви на кінець</t>
  </si>
  <si>
    <t>придбання ТМЦ</t>
  </si>
  <si>
    <t>витрати ТМЦ</t>
  </si>
  <si>
    <t>різниця</t>
  </si>
  <si>
    <t xml:space="preserve">Доопрацювання </t>
  </si>
  <si>
    <t>прибуток на початок</t>
  </si>
  <si>
    <t>прибуток на кінець</t>
  </si>
  <si>
    <t>доходи</t>
  </si>
  <si>
    <t>витрати</t>
  </si>
  <si>
    <t>індивідуальний аналіз</t>
  </si>
  <si>
    <t>амортизація</t>
  </si>
  <si>
    <t>Якщо первісна вартість ОЗ та НМА на початок періоду не дорівнює зносу, то амортизація не дорівнює 0</t>
  </si>
  <si>
    <t>Надходження, придбання ТМЦ, капітальні інвестиції</t>
  </si>
  <si>
    <t>надходження ресурсного забезпечення (крім грошових коштів) (ДБУ)</t>
  </si>
  <si>
    <t>сума відповідні придбання ТМЦ + КАПінвестиції (ДБУ)</t>
  </si>
  <si>
    <t>надходження ресурсного забезпечення (крім грошових коштів) (місцеві бюджети)</t>
  </si>
  <si>
    <t>сума відповідні придбання ТМЦ + КАПінвестиції (місцеві бюджети)</t>
  </si>
  <si>
    <t>Сума надходжень (грошові кошти) всього (бюджети) &gt;= відповідні придбання ТМЦ + КАПінвестиції (бюджети)</t>
  </si>
  <si>
    <t>надходження  грошових коштів (ДБУ)</t>
  </si>
  <si>
    <t>надходження грошових коштів (місцеві бюджети)</t>
  </si>
  <si>
    <t>Інші надходження &gt; відповідні придбання ТМЦ + КАП інвестиції (інші джерела)</t>
  </si>
  <si>
    <t xml:space="preserve">Надходження ПМГ &gt; 0 </t>
  </si>
  <si>
    <t>п.2.3 в придбанні ТМЦ не дорівнює оплаті комунальних послуг в 5.1.</t>
  </si>
  <si>
    <t>2.3 ТМЦ</t>
  </si>
  <si>
    <t>оплата компослуг 5.1.</t>
  </si>
  <si>
    <t>Доходи</t>
  </si>
  <si>
    <t xml:space="preserve">Роботи та послуги (з додатка Доходи ПМГ) &gt; 0 </t>
  </si>
  <si>
    <t>Роботи та послуги,  всього &gt;= Роботи та послуги (з додатка Доходи ПМГ)</t>
  </si>
  <si>
    <t>Витрати</t>
  </si>
  <si>
    <t>Якщо 703ПМГ (Дохід ПМГ)  &gt; 0 то 903 &gt;= 0.5*703 ПМГ</t>
  </si>
  <si>
    <t>703ПМГ (Дохід ПМГ)</t>
  </si>
  <si>
    <t>Витрати на оплату праці</t>
  </si>
  <si>
    <t>ОП 7</t>
  </si>
  <si>
    <t>Співставлення 71 и 94</t>
  </si>
  <si>
    <t>запаси сальдо на початок</t>
  </si>
  <si>
    <t>запаси сальдо на кінець</t>
  </si>
  <si>
    <t>здійснено капітальних інвестицій (капітальні інвестиції 15)</t>
  </si>
  <si>
    <t xml:space="preserve">знос (ОЗ + ННМА) сальдо на кінець  </t>
  </si>
  <si>
    <t>знос (ОЗ + ННМА) сальдо на початок</t>
  </si>
  <si>
    <t>сума первісної вартості ОЗ та НМА</t>
  </si>
  <si>
    <t>сума зносу ОЗ та НМА</t>
  </si>
  <si>
    <t>71 Тотал (інший операційний дохід)</t>
  </si>
  <si>
    <t>94 керівники</t>
  </si>
  <si>
    <t>92 керівники структурних підрозділів</t>
  </si>
  <si>
    <t>94 керівники структурних підрозділів</t>
  </si>
  <si>
    <t>94 інші працівники</t>
  </si>
  <si>
    <t>92 інші працівники</t>
  </si>
  <si>
    <t xml:space="preserve">Запаси (СдП+придбання ТМЦ-витрати ТМЦ =СдК) </t>
  </si>
  <si>
    <t>незавершені капітальні інвестиції сальдо на початок (15 СдП)</t>
  </si>
  <si>
    <t>незавершені капітальні інвестиції сальдо на кінець (15СдК)</t>
  </si>
  <si>
    <t>Знос ОЗ та ННМА (СдК-СдП) = амортизації</t>
  </si>
  <si>
    <t>роботи та послуги,  всього</t>
  </si>
  <si>
    <t>роботи та послуги (з додатка Доходи ПМГ)</t>
  </si>
  <si>
    <t>Перевірка</t>
  </si>
  <si>
    <t>Пасиви =Активи  Баланс</t>
  </si>
  <si>
    <t>ПЕРЕВІРКА НА АКТУАЛЬНІСТЬ ШАБЛОНА ФОРМИ</t>
  </si>
  <si>
    <t>Достатня</t>
  </si>
  <si>
    <t>чи було вибуття НА? так 1, ні - 0</t>
  </si>
  <si>
    <t xml:space="preserve">цільове фінансування (надходження), у тому додатковий капітал </t>
  </si>
  <si>
    <r>
      <rPr>
        <b/>
        <sz val="12"/>
        <color indexed="10"/>
        <rFont val="Times New Roman"/>
        <family val="1"/>
        <charset val="204"/>
      </rPr>
      <t xml:space="preserve"> УВАГА!!!  заповніть дохід від амортизації </t>
    </r>
    <r>
      <rPr>
        <b/>
        <i/>
        <sz val="12"/>
        <color indexed="10"/>
        <rFont val="Times New Roman"/>
        <family val="1"/>
        <charset val="204"/>
      </rPr>
      <t xml:space="preserve"> 71АММ  від цільового фінансування( Дт 69 Кт 71) </t>
    </r>
    <r>
      <rPr>
        <b/>
        <sz val="12"/>
        <color indexed="10"/>
        <rFont val="Times New Roman"/>
        <family val="1"/>
        <charset val="204"/>
      </rPr>
      <t xml:space="preserve"> в таблиці 4  у комірці </t>
    </r>
    <r>
      <rPr>
        <b/>
        <sz val="14"/>
        <color indexed="10"/>
        <rFont val="Times New Roman"/>
        <family val="1"/>
        <charset val="204"/>
      </rPr>
      <t>L15.</t>
    </r>
  </si>
  <si>
    <t xml:space="preserve">з гр. 5 в т.ч. АММ </t>
  </si>
  <si>
    <t>Інше (грошові кошти та ресурсне забезпечення)</t>
  </si>
  <si>
    <t>капітал у дооцінках (411 СдК)</t>
  </si>
  <si>
    <t>капітал у дооцінках (411 СдП)</t>
  </si>
  <si>
    <t>Дт 411 (комірка L17 таблиця 4)</t>
  </si>
  <si>
    <t>%</t>
  </si>
  <si>
    <t xml:space="preserve">додатковий капітал сальдо на кінець 424 СдК </t>
  </si>
  <si>
    <t xml:space="preserve">додатковий капітал сальдо на початок 424 СдП </t>
  </si>
  <si>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48 Дт</t>
    </r>
    <r>
      <rPr>
        <sz val="12"/>
        <color indexed="8"/>
        <rFont val="Times New Roman"/>
        <family val="1"/>
        <charset val="204"/>
      </rPr>
      <t xml:space="preserve">= 48СдП-48СдК+48 Кт </t>
    </r>
    <r>
      <rPr>
        <b/>
        <i/>
        <sz val="12"/>
        <color indexed="10"/>
        <rFont val="Times New Roman"/>
        <family val="1"/>
        <charset val="204"/>
      </rPr>
      <t>Значення не може бути від’ємним</t>
    </r>
  </si>
  <si>
    <r>
      <t xml:space="preserve"> 48 Кт  цільове фінансування (надходження) =  
(надходження бюджети + благодійна допомога) - 424 Кт.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10"/>
        <rFont val="Times New Roman"/>
        <family val="1"/>
        <charset val="204"/>
      </rPr>
      <t>Значення не може бути від’ємним</t>
    </r>
  </si>
  <si>
    <t>цільове фінансування 48 сальдо на кінець</t>
  </si>
  <si>
    <t>цільове фінансування 48 сальдо на початок</t>
  </si>
  <si>
    <t>Аванси ПМГ</t>
  </si>
  <si>
    <t>витрати таблиця 6</t>
  </si>
  <si>
    <t>витрати таблиця 5.1</t>
  </si>
  <si>
    <t>Надходження ПМГ</t>
  </si>
  <si>
    <t>36СдН ПМГ (звіт 9 Дебіторська заборгованість за послуги ПМГ)</t>
  </si>
  <si>
    <t>681СдК ПМГ 
(звіт 9 Аванси ПМГ)</t>
  </si>
  <si>
    <t xml:space="preserve">
</t>
  </si>
  <si>
    <t xml:space="preserve">умова 1 якщо СдК ПМГ &gt; 0, то СдК ПМГ = 36СдК ПМГ і 681СдК = 0 
 </t>
  </si>
  <si>
    <t>умова 2 якщо СдК ПМГ &lt; 0, то СдК ПМГ = - 681СдК ПМГ і 36СдК ПМГ= 0</t>
  </si>
  <si>
    <r>
      <rPr>
        <b/>
        <sz val="12"/>
        <color indexed="8"/>
        <rFont val="Times New Roman"/>
        <family val="1"/>
        <charset val="204"/>
      </rPr>
      <t xml:space="preserve">Співставлення  Надходжень ПМГ,  Доходів ПМГ, балансу 36 ПМГ, 681 ПМГ 
</t>
    </r>
    <r>
      <rPr>
        <b/>
        <i/>
        <sz val="12"/>
        <color indexed="60"/>
        <rFont val="Times New Roman"/>
        <family val="1"/>
        <charset val="204"/>
      </rPr>
      <t>36СдН ПМГ+ Дох ПМГ- (681СдН ПМГ+НадхПМГ)= СдК ПМГ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
умова 1 якщо СдК ПМГ &gt; 0, то СдК ПМГ = 36СдК ПМГ і 681СдК = 0 
умова 2 якщо СдК ПМГ &lt; 0, то СдК ПМГ = - 681СдК ПМГ і 36СдК ПМГ= 0
умова 3  якщо СдК ПМГ = 0, то  681СдК ПМГ = 0 і 36СдК ПМГ= 0
 має виконуватися одна з трьох умов</t>
    </r>
  </si>
  <si>
    <t xml:space="preserve"> Дохід ПМГ (таблиця 4, р.4.1.3.1.)</t>
  </si>
  <si>
    <t>681СдН ПМГ (звіт 9 Аванси ПМГ)</t>
  </si>
  <si>
    <t xml:space="preserve"> СдК ПМГ=  
36СдН ПМГ+ Дох ПМГ- (681СдН ПМГ+НадхПМГ)</t>
  </si>
  <si>
    <t>36СдК ПМГ  
(розрахункове)</t>
  </si>
  <si>
    <t>681СдК ПМГ 
(розрахункове)</t>
  </si>
  <si>
    <t>Запаси таблиця 2- якщо є дані у р. 2.1.5.1.(засоби індивідуального захисту) то мають бути у 2.1.5.(Інші матеріали, у тому числі )</t>
  </si>
  <si>
    <t>2.1.5.1.(засоби індивідуального захисту)</t>
  </si>
  <si>
    <t>2.1.5.(Інші матеріали, у тому числі )</t>
  </si>
  <si>
    <t>у тому числі COVID-19 2.1.5.1.(засоби індивідуального захисту)</t>
  </si>
  <si>
    <t>у тому числі COVID-19 2.1.5.(Інші матеріали, у тому числі )</t>
  </si>
  <si>
    <r>
      <t xml:space="preserve">Інший операційний дохід </t>
    </r>
    <r>
      <rPr>
        <i/>
        <sz val="14"/>
        <rFont val="Times New Roman"/>
        <family val="1"/>
        <charset val="204"/>
      </rPr>
      <t xml:space="preserve">(в т.ч. </t>
    </r>
    <r>
      <rPr>
        <i/>
        <sz val="14"/>
        <rFont val="Times New Roman"/>
        <family val="1"/>
        <charset val="204"/>
      </rPr>
      <t>АММ 71 (від цільового фінансування Дт 69 Кт 71)</t>
    </r>
  </si>
  <si>
    <r>
      <t xml:space="preserve">Неопераційний дохід </t>
    </r>
    <r>
      <rPr>
        <i/>
        <sz val="14"/>
        <rFont val="Times New Roman"/>
        <family val="1"/>
        <charset val="204"/>
      </rPr>
      <t xml:space="preserve"> (в т.ч.  АММ 74 (від додатково капіталу Дт 424 Кт 745)</t>
    </r>
  </si>
  <si>
    <t>Виконують адміністративні та управлінські функції</t>
  </si>
  <si>
    <t>Виконують адміністративні та загальногосподарські функції</t>
  </si>
  <si>
    <t>Середньомісячна заробітна плата в місяць, грн.</t>
  </si>
  <si>
    <t>у т. ч. за надані медичні послуги хворим по COVID-19</t>
  </si>
  <si>
    <t>* без врахування перебуваючих  у відпустці  для  догляду  за  дитиною  до досягнення  нею  віку,  передбаченого  чинним  законодавством  або колективним договором підприємства</t>
  </si>
  <si>
    <t>** проставляють суб’єкти  господарювання із кількістю працівників 50 і більше осіб та ті, що приймають участь  у вибірковому обстеженні підприємств із питань статистики праці із кількістю працівників від 10 до 49 осіб включно</t>
  </si>
  <si>
    <t xml:space="preserve">при заповненні даних таблиці 8  керуватися п.3, п.4 Інструкції зі статистики кількості працівників, затвердженої наказом Держстату від 28.09.2005 №286 </t>
  </si>
  <si>
    <t>р.1 керівники таблиці 8</t>
  </si>
  <si>
    <t>р.1 гр. 5 "Виконують адміністративні та управлінські функції" таблиці 8</t>
  </si>
  <si>
    <t xml:space="preserve">92 керівники </t>
  </si>
  <si>
    <t>Витрати на оплату праці (таблиця 7) Керівники структурних підрозділів:  якщо немає видатків на 94, то на 92 мають бути</t>
  </si>
  <si>
    <t>Витрати на оплату праці (таблиця 7) Керівники:  якщо немає видатків на 94, то на 92 мають бути</t>
  </si>
  <si>
    <t>Керівники - Якщо є видатки у р.1.1.1.1. гр.4 таблиці 7, то має бути чисельність у р.1 керівники таблиці 8</t>
  </si>
  <si>
    <t>р.1.1.1.1. гр. 4 таблиці 7</t>
  </si>
  <si>
    <t>Витрати на оплату праці (таблиця 7) Інші працівники:  якщо немає видатків на 94, то на 92 мають бути</t>
  </si>
  <si>
    <t>Витрати на оплату праці (таблиці 7 и 5.1 з врахуванням витрат на виготовлення власної продукції)</t>
  </si>
  <si>
    <t>ОП 5,1+витрати на виготовлення власної продукції</t>
  </si>
  <si>
    <t>Керівники структурних підрозділів - Якщо є видатки у р.1.1.1.2. гр.8 таблиці 7 (або гр.10), то має бути чисельність у р.1 гр. 5 "Виконують адміністративні та управлінські функції" таблиці 8</t>
  </si>
  <si>
    <t>р.1.1.1.2. гр.8 таблиці 7 (92)</t>
  </si>
  <si>
    <t>8.1. Середньомісячна заробітна плата, грн.</t>
  </si>
  <si>
    <t>р.1 гр. 6 "Зайняті у наданні медичних послуг" таблиці 8</t>
  </si>
  <si>
    <t>р.1.1.1.3. гр.4 таблиці 7</t>
  </si>
  <si>
    <t>Лікарі - Якщо є видатки у р.1.1.1.3. гр.4 таблиці 7, то має бути чисельність у р.1 гр. 7 "Лікарі" таблиці 8</t>
  </si>
  <si>
    <t>р.1 гр. 7 "Лікарі" таблиці 8</t>
  </si>
  <si>
    <t>р.1.1.1.4. гр.4 таблиці 7</t>
  </si>
  <si>
    <t>р.1 гр. 8 "Середній медичний первсонал" таблиці 8</t>
  </si>
  <si>
    <t>р.1.1.1.5. гр.4 таблиці 7</t>
  </si>
  <si>
    <t>р.1 гр. 9 "Молодший медичний персонал" таблиці 8</t>
  </si>
  <si>
    <t>р.1.1.1.6. гр.8 таблиці 7 (92)</t>
  </si>
  <si>
    <t>р.1 гр. 11 "Зайняті у наданні медичних послуг" таблиці 8</t>
  </si>
  <si>
    <t>р.1 гр. 10 "Виконують адміністративні та загальногосподарські функції" таблиці 8</t>
  </si>
  <si>
    <t xml:space="preserve">р.1.1.1.2. гр.6 таблиці 7 </t>
  </si>
  <si>
    <t xml:space="preserve">р.1.1.1.6. гр.6 таблиці 7 </t>
  </si>
  <si>
    <t>Середня кількість працівників</t>
  </si>
  <si>
    <t>Якщо середня кількість працівників &gt;50 осіб, то має бути заповнена  гр. 12 таблиці "Кількість відпрацьованих людино-годин**"  таблиці 8</t>
  </si>
  <si>
    <t>гр. 12 таблиці "Кількість відпрацьованих людино-годин**"  таблиці 8</t>
  </si>
  <si>
    <t>Керівники структурних підрозділів - Якщо є видатки у р.1.1.1.2. гр.6 таблиці 7 (або гр.10), то має бути чисельність у р.1 гр. 6 "Зайняті у наданні медичних послуг" таблиці 8</t>
  </si>
  <si>
    <t>Середній медичний первсонал - Якщо є видатки у р.1.1.1.4. гр.4 таблиці 7, то має бути чисельність у р.1 гр. 8 "Середній медичний первсонал" таблиці 8</t>
  </si>
  <si>
    <t>Інші працівники - Якщо є видатки у р.1.1.1.6. гр.8 таблиці 7 (або гр.10), то має бути чисельність у р.1 гр. 10 "Виконують адміністративні та загальногосподарські функції" таблиці 8</t>
  </si>
  <si>
    <t>Інші працівники- Якщо є видатки у р.1.1.1.6. гр.6 таблиці 7 (або гр.10), то має бути чисельність у р.1 гр. 11 "Зайняті у наданні медичних послуг" таблиці 8</t>
  </si>
  <si>
    <t>Паливо.</t>
  </si>
  <si>
    <t>Молодший медичний персонал- Якщо є видатки у р.1.1.1.5. гр.4 таблиці 7, то має бути чисельність у р.1 гр.9 "Молодший медичний персонал" таблиці 8</t>
  </si>
  <si>
    <t>р.1.1.1.6. гр.10 таблиці 7 (94)</t>
  </si>
  <si>
    <t>р.1.1.1.2. гр.10 таблиці 7 (94)</t>
  </si>
  <si>
    <t>36СдК ПМГ  
(звіт 9 Дебіторська заборгованість за послуги ПМГ)</t>
  </si>
  <si>
    <t xml:space="preserve">сума відповідні придбання ТМЦ + КАПінвестиції </t>
  </si>
  <si>
    <t>Доходи - витрати в таблиці 6 &gt;= 0</t>
  </si>
  <si>
    <t>Доходи - витрати в таблиці 5.1. &gt;= 0</t>
  </si>
  <si>
    <t>Витрати за рахунок бюджетів усіх рівнів та благодійної допомоги і інші операційні витрати (94)</t>
  </si>
  <si>
    <t>Витрати за рахунок бюджетів усіх рівнів та благодійної допомоги і  інші операційні витрати без амортизації  (94 (без АММ)) &gt;= 71 (без АММ)</t>
  </si>
  <si>
    <t>Якщо непокритий збиток на початок періоду менше 300 тис. грн. - то ПОМИЛКА</t>
  </si>
  <si>
    <t>94 без АММ</t>
  </si>
  <si>
    <t>сума активи + пасиви на кінець періода не = 0, то ПРАВДА</t>
  </si>
  <si>
    <t xml:space="preserve">Надходження ЦФ </t>
  </si>
  <si>
    <t>71ЦФ без АММ</t>
  </si>
  <si>
    <t>у тому числі COVID-20</t>
  </si>
  <si>
    <t>Цільове фінансування за рахунок коштів бюджетів усіх рівнів має бути відображено у таблиці Надходження за відповідними джерелами</t>
  </si>
  <si>
    <t>69СдП
доходи майбутніх періодів 69 сальдо на початок</t>
  </si>
  <si>
    <t>69СдК
доходи майбутніх періодів 69 сальдо на кінець</t>
  </si>
  <si>
    <t>71 Тотал &gt;= 71 (без АММ) + АММ 71
71 (без АММ) має бути більше 0</t>
  </si>
  <si>
    <t>інформаційно</t>
  </si>
  <si>
    <t>Різниця (71 Тотал - (71 (без АММ) + АММ 71+оренда)</t>
  </si>
  <si>
    <t>4.1. Вибуття НА та ТМЦ, грн.</t>
  </si>
  <si>
    <t>запаси сальдо на початок+придбання ТМЦ-витрати ТМЦ - передача ТМЦ</t>
  </si>
  <si>
    <t xml:space="preserve">Коригування </t>
  </si>
  <si>
    <t>На початок звітного періоду з урахуванням коригування</t>
  </si>
  <si>
    <t>Нерозподілений прибуток (непокритий збиток)  (СдК-СдП) -Дт 411) =  Доходи-Витрати</t>
  </si>
  <si>
    <t>№перевірки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</si>
  <si>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</si>
  <si>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</si>
  <si>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</si>
  <si>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</si>
  <si>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</si>
  <si>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</si>
  <si>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</si>
  <si>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</si>
  <si>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</si>
  <si>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</si>
  <si>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</si>
  <si>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</si>
  <si>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</si>
  <si>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</si>
  <si>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</si>
  <si>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</si>
  <si>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</si>
  <si>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</si>
  <si>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</si>
  <si>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</si>
  <si>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</si>
  <si>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</si>
  <si>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</si>
  <si>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</si>
  <si>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</si>
  <si>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</si>
  <si>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</si>
  <si>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</si>
  <si>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</si>
  <si>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</si>
  <si>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</si>
  <si>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</si>
  <si>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</si>
  <si>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</si>
  <si>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</si>
  <si>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Інф1</t>
  </si>
  <si>
    <t>Інф2</t>
  </si>
  <si>
    <t>Інф3</t>
  </si>
  <si>
    <t>Інф4</t>
  </si>
  <si>
    <t>№1.1</t>
  </si>
  <si>
    <t>№3А</t>
  </si>
  <si>
    <t>№3Б</t>
  </si>
  <si>
    <t>№7А</t>
  </si>
  <si>
    <t>№Д32_35</t>
  </si>
  <si>
    <t>Амортизація (табл 6 п. 6.5) - (L15+L16+ L17) &gt;=0, то ПРАВДА</t>
  </si>
  <si>
    <r>
      <t>69 Кт (дохід майбутніх періодів з проведень  Дт ЦФ10-Кт ЦФ15) = 69СдК -69СдП+69Дт (або АММ 71)</t>
    </r>
    <r>
      <rPr>
        <i/>
        <u/>
        <sz val="14"/>
        <color indexed="10"/>
        <rFont val="Times New Roman"/>
        <family val="1"/>
        <charset val="204"/>
      </rPr>
      <t>+Вибуття ОЗ (ЦФ)</t>
    </r>
  </si>
  <si>
    <t xml:space="preserve">Сума надходжень ресурсного забезпечення (крім грошових коштів) (бюджети) може дорівнювати або бути більше на 20%, ніж сума відповідних придбання ТМЦ + КАПінвестиції (бюджети) </t>
  </si>
  <si>
    <r>
      <t xml:space="preserve">якщо перевірки </t>
    </r>
    <r>
      <rPr>
        <sz val="14"/>
        <color indexed="10"/>
        <rFont val="Times New Roman"/>
        <family val="1"/>
        <charset val="204"/>
      </rPr>
      <t>№8 и №9 (№7.1 , №8, №9)</t>
    </r>
    <r>
      <rPr>
        <sz val="14"/>
        <color indexed="8"/>
        <rFont val="Times New Roman"/>
        <family val="1"/>
        <charset val="204"/>
      </rPr>
      <t xml:space="preserve"> правильні та є  69СдП, то має бути  АММ 71 і 69 Кт &gt;=0</t>
    </r>
  </si>
  <si>
    <t>передача в іншу організацію ТМЦ, що придбані (отримані) за кошти цільового фінансування (Дт 48 Кт 377)</t>
  </si>
  <si>
    <t>Якщо на початок року є капітал у дооцінках, то має бути його амортизація Дт 411 (комірка L17 таблиця 4)
Амортизація по дооціненому капіталу не може бути менше 0</t>
  </si>
  <si>
    <t xml:space="preserve">Капітальні інвестиції
15СдП + капітальні інвестиції 15 - (різниця первісної вартості (СдК-СдП))  ОЗ та ННМА = 15СдК
</t>
  </si>
  <si>
    <t>різниця первісної вартості ОС и ННМА 
(сальдо на кінець - сальдо на початок)</t>
  </si>
  <si>
    <r>
      <t xml:space="preserve">Увага! За умови наявної амортизації дооціненого капіталу (Дт 411 Кт 441) необхідно ввести у комірку L17 її суму. </t>
    </r>
    <r>
      <rPr>
        <sz val="14"/>
        <color indexed="10"/>
        <rFont val="Times New Roman"/>
        <family val="1"/>
        <charset val="204"/>
      </rPr>
      <t>Амортизація по дооціненому капіталу не може бути менше 0</t>
    </r>
  </si>
  <si>
    <t xml:space="preserve">УВАГА!!!І Якщо існують госп.операції з додатковим капиталом,  заповніть 745 АММ (Дт 424 Кт 745) в комірці L16 таблиці 4  (умова (42СдК &gt;0 або 42СдП &gt; 0) </t>
  </si>
  <si>
    <r>
      <rPr>
        <b/>
        <sz val="12"/>
        <color indexed="10"/>
        <rFont val="Times New Roman"/>
        <family val="1"/>
        <charset val="204"/>
      </rPr>
      <t>69 Кт</t>
    </r>
    <r>
      <rPr>
        <sz val="12"/>
        <color indexed="8"/>
        <rFont val="Times New Roman"/>
        <family val="1"/>
        <charset val="204"/>
      </rPr>
      <t xml:space="preserve">  = 69СдК -69СдП+69Дт (або АММ 71) + </t>
    </r>
    <r>
      <rPr>
        <u/>
        <sz val="12"/>
        <color indexed="10"/>
        <rFont val="Times New Roman"/>
        <family val="1"/>
        <charset val="204"/>
      </rPr>
      <t xml:space="preserve">вибуття ОЗ (ЦФ)
</t>
    </r>
    <r>
      <rPr>
        <b/>
        <u/>
        <sz val="12"/>
        <color indexed="10"/>
        <rFont val="Times New Roman"/>
        <family val="1"/>
        <charset val="204"/>
      </rPr>
      <t>Значення не може бути від’ємним</t>
    </r>
  </si>
  <si>
    <r>
      <t xml:space="preserve">424 Кт = 424 СдК + АММ 745 </t>
    </r>
    <r>
      <rPr>
        <u/>
        <sz val="12"/>
        <color indexed="10"/>
        <rFont val="Times New Roman"/>
        <family val="1"/>
        <charset val="204"/>
      </rPr>
      <t xml:space="preserve">+ вибуття ОЗ </t>
    </r>
    <r>
      <rPr>
        <u/>
        <sz val="12"/>
        <rFont val="Times New Roman"/>
        <family val="1"/>
        <charset val="204"/>
      </rPr>
      <t>- 424 СдП</t>
    </r>
    <r>
      <rPr>
        <u/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u/>
        <sz val="12"/>
        <color indexed="10"/>
        <rFont val="Times New Roman"/>
        <family val="1"/>
        <charset val="204"/>
      </rPr>
      <t xml:space="preserve">Значення не може бути від’ємним </t>
    </r>
  </si>
  <si>
    <r>
      <rPr>
        <sz val="11"/>
        <color indexed="10"/>
        <rFont val="Times New Roman"/>
        <family val="1"/>
        <charset val="204"/>
      </rPr>
      <t>розрахунково</t>
    </r>
    <r>
      <rPr>
        <sz val="11"/>
        <color indexed="8"/>
        <rFont val="Times New Roman"/>
        <family val="1"/>
        <charset val="204"/>
      </rPr>
      <t xml:space="preserve">
15СдП + капітальні інвестиції 15 - (різниця первісна вартість (сальдо на кінець - сальдо на початок)  ОЗ и ННМА)</t>
    </r>
  </si>
  <si>
    <t>Обов’язково відповісти на запитання (поставити в комірку  F18  так 1, ні - 0</t>
  </si>
  <si>
    <r>
      <rPr>
        <sz val="11"/>
        <color indexed="10"/>
        <rFont val="Times New Roman"/>
        <family val="1"/>
        <charset val="204"/>
      </rPr>
      <t>розрахунково</t>
    </r>
    <r>
      <rPr>
        <sz val="11"/>
        <color indexed="8"/>
        <rFont val="Times New Roman"/>
        <family val="1"/>
        <charset val="204"/>
      </rPr>
      <t xml:space="preserve">
 Кр13 знос (ОЗ + ННМА) =сальдо на кінець -  сальдо на початок</t>
    </r>
  </si>
  <si>
    <t xml:space="preserve">Зареєстрований (уставний) капітал </t>
  </si>
  <si>
    <t xml:space="preserve">АММ 71 (69Дт 71Кт) комірка L15 таблиці 4 
</t>
  </si>
  <si>
    <t>94 (без АММ) таблиця 5 гр. 15</t>
  </si>
  <si>
    <r>
      <rPr>
        <sz val="14"/>
        <color indexed="10"/>
        <rFont val="Times New Roman"/>
        <family val="1"/>
        <charset val="204"/>
      </rPr>
      <t>48 Дт</t>
    </r>
    <r>
      <rPr>
        <sz val="14"/>
        <color indexed="8"/>
        <rFont val="Times New Roman"/>
        <family val="1"/>
        <charset val="204"/>
      </rPr>
      <t xml:space="preserve"> = 48СдП-48СдК+48 Кт
48 Кт  цільове фінансування (надходження) =  
(надходження бюджети + благодійна допомога) - 424 Кт.
424 Кт = 424 СдК + АММ 745 - вибуття ОЗ  -424 СдП  </t>
    </r>
  </si>
  <si>
    <t>Витрати за рахунок бюджетів усіх рівнів та благодійної допомоги + інші операційні витрати (94)</t>
  </si>
  <si>
    <r>
      <t xml:space="preserve">71 ЦФ без АММ =  48Дт  - 69Кт - </t>
    </r>
    <r>
      <rPr>
        <u/>
        <sz val="11"/>
        <color indexed="10"/>
        <rFont val="Times New Roman"/>
        <family val="1"/>
        <charset val="204"/>
      </rPr>
      <t>вибуття ТМЦ, що придбані (отримані) за кошти цільового фінансування (Дт 48 Кт 377)</t>
    </r>
  </si>
  <si>
    <t>Сума надходжень ресурсного забезпечення (крім грошових коштів) (бюджети) = відповідні придбання ТМЦ + КАПінвестиції (бюджети)</t>
  </si>
  <si>
    <t>Якщо на початок року є капітал у дооцінках, то має бути його амортизація Дт 411 (комірка L17 таблиця 4)</t>
  </si>
  <si>
    <t xml:space="preserve">Співставлення  Надходжень ПМГ,  Доходів ПМГ, балансу 36 ПМГ, 681 ПМГ 
</t>
  </si>
  <si>
    <t>Капітальні інвестиції
15СдП + капітальні інвестиції 15 - (різниця первісної вартості (СдК-СдП)-411 Кр)  ОЗ та ННМА = 15СдК</t>
  </si>
  <si>
    <t>№36</t>
  </si>
  <si>
    <t>№37</t>
  </si>
  <si>
    <t>Структура балансу</t>
  </si>
  <si>
    <t>НА 1 = Нематеріальні активи + основні засоби на початок періоду</t>
  </si>
  <si>
    <t>К 1 = капітал у дооцінках +  додатковий капітал   + доходи майбутніх періодів на початок періоду</t>
  </si>
  <si>
    <t>НА 2 = Нематеріальні активи + основні засоби на кінець періоду</t>
  </si>
  <si>
    <t>К 2 = капітал у дооцінках +  додатковий капітал   + доходи майбутніх періодів на кінець періоду</t>
  </si>
  <si>
    <t>сума (капітал у дооцінках +  додатковий капітал   + доходи майбутніх періодів) складають не менше 50 % від суми (Нематеріальні активи + основні засоби)</t>
  </si>
  <si>
    <t xml:space="preserve">Цільове фінансування складає не менше 50% суми (Запаси  + незавершені капітальні інвестиції) </t>
  </si>
  <si>
    <t>К 2 у % до НА 2</t>
  </si>
  <si>
    <t>К 1 у % до НА 1</t>
  </si>
  <si>
    <t xml:space="preserve">З 1 = Запаси  + незавершені капітальні інвестиції на початок періоду </t>
  </si>
  <si>
    <t xml:space="preserve">З 2 = Запаси  + незавершені капітальні інвестиції на кінець періоду </t>
  </si>
  <si>
    <t>ЦФ 1 = Цільове фінансування на початок періоду</t>
  </si>
  <si>
    <t>ЦФ 1 у % до З 1</t>
  </si>
  <si>
    <t>ЦФ 2 = Цільове фінансування на кінець періоду</t>
  </si>
  <si>
    <t xml:space="preserve">ЦФ 2 у % до З 2
</t>
  </si>
  <si>
    <t>зелені</t>
  </si>
  <si>
    <t>сині</t>
  </si>
  <si>
    <t>жовті</t>
  </si>
  <si>
    <t>червоні</t>
  </si>
  <si>
    <t>оцінка</t>
  </si>
  <si>
    <t>Загальна оцінка</t>
  </si>
  <si>
    <t>якщо перевірки №8 и №9 (№7.1 , №8, №9) правильні та є  69СдП, то має бути  АММ 71 і 69 Кт &gt;=0</t>
  </si>
  <si>
    <t xml:space="preserve">48 Дт = 48СдП-48СдК+48 Кт
48 Кт  цільове фінансування (надходження) =  
(надходження бюджети + благодійна допомога) - 424 Кт.
424 Кт = 424 СдК + АММ 745 - 424 СдП  </t>
  </si>
  <si>
    <t>Оцінка</t>
  </si>
  <si>
    <t>Інф5</t>
  </si>
  <si>
    <t>Прибуток на початок</t>
  </si>
  <si>
    <t>Прибуток на початок з урахуванням коригування</t>
  </si>
  <si>
    <t>На кінець звітного періоду з урахуванням коригування</t>
  </si>
  <si>
    <t>вибуття ОЗ, залишкова вартість яких обліковується у доходах майбутніх періодів (Дт 69 Кт377)</t>
  </si>
  <si>
    <t>вибуття ОЗ, залишкова вартість яких обліковується у додатковому капіталі (Дт 424 Кт 10)</t>
  </si>
  <si>
    <t>* якщо залишкова вартість ОЗ дорівнює О, то у таблиці нічого не проставляється</t>
  </si>
  <si>
    <r>
      <t xml:space="preserve">АММ 71 (69Дт 71Кт) комірка L15 таблиці 4 +  </t>
    </r>
    <r>
      <rPr>
        <u/>
        <sz val="12"/>
        <color indexed="10"/>
        <rFont val="Times New Roman"/>
        <family val="1"/>
        <charset val="204"/>
      </rPr>
      <t>вибуття ОЗ (ЦФ)</t>
    </r>
    <r>
      <rPr>
        <sz val="12"/>
        <color indexed="8"/>
        <rFont val="Times New Roman"/>
        <family val="1"/>
        <charset val="204"/>
      </rPr>
      <t xml:space="preserve">, залишкова вартість якиих обліковується у доходах майбутніх періодів
</t>
    </r>
  </si>
  <si>
    <r>
      <t xml:space="preserve">АММ 745 (від додатково капіталу Дт 424 Кт 745) комірка L16 таблиці 4 </t>
    </r>
    <r>
      <rPr>
        <b/>
        <u/>
        <sz val="12"/>
        <color indexed="10"/>
        <rFont val="Times New Roman"/>
        <family val="1"/>
        <charset val="204"/>
      </rPr>
      <t>+ вибуття ОЗ</t>
    </r>
    <r>
      <rPr>
        <b/>
        <sz val="12"/>
        <color indexed="8"/>
        <rFont val="Times New Roman"/>
        <family val="1"/>
        <charset val="204"/>
      </rPr>
      <t>, залишкова вартість яких обліковується у додатковому капіталі
(Дт 424 Кт 10)</t>
    </r>
  </si>
  <si>
    <t>Інші надходження &gt; =відповідні придбання ТМЦ + КАП інвестиції (інші джерела)</t>
  </si>
  <si>
    <t xml:space="preserve">    </t>
  </si>
  <si>
    <t>Шупейко Вадим Васильович</t>
  </si>
  <si>
    <t>Діденко Юлія Михайлівна</t>
  </si>
  <si>
    <t>vozrdalubny@ukr.net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</si>
</sst>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#,##0.0000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name val="Times New Roman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2"/>
      <color indexed="60"/>
      <name val="Times New Roman"/>
      <family val="1"/>
      <charset val="204"/>
    </font>
    <font>
      <i/>
      <sz val="16"/>
      <name val="Times New Roman"/>
      <family val="1"/>
      <charset val="204"/>
    </font>
    <font>
      <i/>
      <u/>
      <sz val="14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color indexed="10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u/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 tint="0.3499862666707357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6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i/>
      <sz val="14"/>
      <color theme="2" tint="-0.49998474074526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43" fillId="0" borderId="0"/>
    <xf numFmtId="0" fontId="45" fillId="0" borderId="0"/>
    <xf numFmtId="0" fontId="13" fillId="0" borderId="0"/>
    <xf numFmtId="0" fontId="14" fillId="0" borderId="0"/>
    <xf numFmtId="0" fontId="46" fillId="0" borderId="0" applyNumberFormat="0" applyFill="0" applyBorder="0" applyAlignment="0" applyProtection="0"/>
    <xf numFmtId="0" fontId="1" fillId="0" borderId="0"/>
    <xf numFmtId="0" fontId="11" fillId="0" borderId="0"/>
    <xf numFmtId="0" fontId="24" fillId="0" borderId="0"/>
  </cellStyleXfs>
  <cellXfs count="1025">
    <xf numFmtId="0" fontId="0" fillId="0" borderId="0" xfId="0"/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2" fillId="0" borderId="1" xfId="6" applyFont="1" applyFill="1" applyBorder="1" applyAlignment="1">
      <alignment vertical="center"/>
    </xf>
    <xf numFmtId="0" fontId="2" fillId="2" borderId="0" xfId="6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9" fontId="2" fillId="0" borderId="0" xfId="6" applyNumberFormat="1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/>
    </xf>
    <xf numFmtId="0" fontId="49" fillId="0" borderId="0" xfId="6" applyFont="1" applyFill="1" applyBorder="1" applyAlignment="1">
      <alignment horizontal="center" vertical="center"/>
    </xf>
    <xf numFmtId="0" fontId="8" fillId="2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left" vertical="center" wrapText="1"/>
    </xf>
    <xf numFmtId="0" fontId="50" fillId="0" borderId="0" xfId="0" applyFont="1"/>
    <xf numFmtId="0" fontId="51" fillId="0" borderId="0" xfId="0" applyFont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/>
    </xf>
    <xf numFmtId="49" fontId="8" fillId="2" borderId="0" xfId="6" applyNumberFormat="1" applyFont="1" applyFill="1" applyBorder="1" applyAlignment="1">
      <alignment horizontal="left" vertical="top" wrapText="1" indent="1" readingOrder="1"/>
    </xf>
    <xf numFmtId="0" fontId="2" fillId="0" borderId="0" xfId="6" applyFont="1" applyFill="1" applyBorder="1" applyAlignment="1">
      <alignment vertical="center" wrapText="1"/>
    </xf>
    <xf numFmtId="0" fontId="8" fillId="0" borderId="0" xfId="6" applyFont="1" applyFill="1" applyBorder="1" applyAlignment="1">
      <alignment horizontal="left"/>
    </xf>
    <xf numFmtId="0" fontId="2" fillId="2" borderId="0" xfId="6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left" vertical="center"/>
    </xf>
    <xf numFmtId="0" fontId="52" fillId="0" borderId="0" xfId="0" applyFont="1"/>
    <xf numFmtId="0" fontId="52" fillId="0" borderId="0" xfId="0" applyFont="1" applyBorder="1"/>
    <xf numFmtId="0" fontId="53" fillId="0" borderId="0" xfId="0" applyFont="1" applyAlignment="1">
      <alignment vertical="center"/>
    </xf>
    <xf numFmtId="0" fontId="54" fillId="2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2" fillId="2" borderId="0" xfId="6" applyFont="1" applyFill="1" applyBorder="1" applyAlignment="1">
      <alignment horizontal="left" vertical="center" wrapText="1" indent="1"/>
    </xf>
    <xf numFmtId="0" fontId="10" fillId="0" borderId="0" xfId="6" applyFont="1" applyFill="1" applyBorder="1" applyAlignment="1">
      <alignment horizontal="left" vertical="center"/>
    </xf>
    <xf numFmtId="0" fontId="51" fillId="0" borderId="0" xfId="0" applyFont="1"/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Border="1"/>
    <xf numFmtId="0" fontId="55" fillId="2" borderId="1" xfId="0" applyFont="1" applyFill="1" applyBorder="1" applyAlignment="1">
      <alignment horizontal="left" vertical="center" wrapText="1"/>
    </xf>
    <xf numFmtId="0" fontId="2" fillId="2" borderId="2" xfId="6" applyFont="1" applyFill="1" applyBorder="1" applyAlignment="1">
      <alignment vertical="center"/>
    </xf>
    <xf numFmtId="0" fontId="2" fillId="2" borderId="3" xfId="6" applyFont="1" applyFill="1" applyBorder="1" applyAlignment="1">
      <alignment vertical="center"/>
    </xf>
    <xf numFmtId="16" fontId="10" fillId="2" borderId="2" xfId="6" applyNumberFormat="1" applyFont="1" applyFill="1" applyBorder="1" applyAlignment="1">
      <alignment vertical="center"/>
    </xf>
    <xf numFmtId="49" fontId="10" fillId="0" borderId="0" xfId="6" applyNumberFormat="1" applyFont="1" applyFill="1" applyBorder="1" applyAlignment="1">
      <alignment vertical="center"/>
    </xf>
    <xf numFmtId="0" fontId="2" fillId="0" borderId="2" xfId="6" applyFont="1" applyFill="1" applyBorder="1" applyAlignment="1">
      <alignment vertical="center"/>
    </xf>
    <xf numFmtId="0" fontId="2" fillId="0" borderId="3" xfId="6" applyFont="1" applyFill="1" applyBorder="1" applyAlignment="1">
      <alignment vertical="center"/>
    </xf>
    <xf numFmtId="0" fontId="10" fillId="2" borderId="2" xfId="6" applyFont="1" applyFill="1" applyBorder="1" applyAlignment="1"/>
    <xf numFmtId="0" fontId="10" fillId="2" borderId="3" xfId="6" applyFont="1" applyFill="1" applyBorder="1" applyAlignment="1"/>
    <xf numFmtId="0" fontId="50" fillId="2" borderId="0" xfId="0" applyFont="1" applyFill="1"/>
    <xf numFmtId="0" fontId="6" fillId="0" borderId="4" xfId="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vertical="center" wrapText="1"/>
    </xf>
    <xf numFmtId="0" fontId="56" fillId="0" borderId="0" xfId="0" applyFont="1" applyAlignment="1">
      <alignment horizontal="right"/>
    </xf>
    <xf numFmtId="0" fontId="55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vertical="center"/>
    </xf>
    <xf numFmtId="0" fontId="55" fillId="0" borderId="1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5" fillId="3" borderId="1" xfId="0" applyFont="1" applyFill="1" applyBorder="1" applyAlignment="1">
      <alignment horizontal="center"/>
    </xf>
    <xf numFmtId="0" fontId="10" fillId="2" borderId="1" xfId="6" applyNumberFormat="1" applyFont="1" applyFill="1" applyBorder="1" applyAlignment="1">
      <alignment horizontal="center" vertical="center"/>
    </xf>
    <xf numFmtId="0" fontId="6" fillId="4" borderId="1" xfId="6" applyFont="1" applyFill="1" applyBorder="1" applyAlignment="1">
      <alignment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16" fillId="2" borderId="4" xfId="6" applyFont="1" applyFill="1" applyBorder="1" applyAlignment="1">
      <alignment horizontal="center" vertical="center" wrapText="1"/>
    </xf>
    <xf numFmtId="16" fontId="10" fillId="2" borderId="3" xfId="6" applyNumberFormat="1" applyFont="1" applyFill="1" applyBorder="1" applyAlignment="1">
      <alignment vertical="center"/>
    </xf>
    <xf numFmtId="0" fontId="58" fillId="0" borderId="0" xfId="0" applyFont="1" applyBorder="1"/>
    <xf numFmtId="0" fontId="59" fillId="0" borderId="0" xfId="0" applyFont="1" applyBorder="1"/>
    <xf numFmtId="0" fontId="10" fillId="0" borderId="3" xfId="6" applyFont="1" applyFill="1" applyBorder="1" applyAlignment="1">
      <alignment horizontal="center" vertical="center"/>
    </xf>
    <xf numFmtId="4" fontId="2" fillId="2" borderId="0" xfId="6" applyNumberFormat="1" applyFont="1" applyFill="1" applyBorder="1" applyAlignment="1">
      <alignment horizontal="center" vertical="center"/>
    </xf>
    <xf numFmtId="4" fontId="2" fillId="2" borderId="0" xfId="6" applyNumberFormat="1" applyFont="1" applyFill="1" applyBorder="1" applyAlignment="1">
      <alignment vertical="center"/>
    </xf>
    <xf numFmtId="4" fontId="2" fillId="0" borderId="5" xfId="6" applyNumberFormat="1" applyFont="1" applyFill="1" applyBorder="1" applyAlignment="1">
      <alignment horizontal="center" vertical="center" wrapText="1"/>
    </xf>
    <xf numFmtId="4" fontId="50" fillId="0" borderId="0" xfId="0" applyNumberFormat="1" applyFont="1"/>
    <xf numFmtId="4" fontId="10" fillId="2" borderId="6" xfId="6" applyNumberFormat="1" applyFont="1" applyFill="1" applyBorder="1" applyAlignment="1">
      <alignment horizontal="center" vertical="center" wrapText="1"/>
    </xf>
    <xf numFmtId="4" fontId="10" fillId="2" borderId="1" xfId="6" applyNumberFormat="1" applyFont="1" applyFill="1" applyBorder="1" applyAlignment="1">
      <alignment horizontal="center" vertical="center" wrapText="1"/>
    </xf>
    <xf numFmtId="4" fontId="53" fillId="5" borderId="1" xfId="0" applyNumberFormat="1" applyFont="1" applyFill="1" applyBorder="1"/>
    <xf numFmtId="1" fontId="16" fillId="2" borderId="1" xfId="6" applyNumberFormat="1" applyFont="1" applyFill="1" applyBorder="1" applyAlignment="1">
      <alignment horizontal="center" wrapText="1"/>
    </xf>
    <xf numFmtId="1" fontId="16" fillId="2" borderId="7" xfId="6" applyNumberFormat="1" applyFont="1" applyFill="1" applyBorder="1" applyAlignment="1">
      <alignment horizontal="center" wrapText="1"/>
    </xf>
    <xf numFmtId="3" fontId="16" fillId="2" borderId="1" xfId="6" applyNumberFormat="1" applyFont="1" applyFill="1" applyBorder="1" applyAlignment="1">
      <alignment horizontal="center" vertical="center" wrapText="1"/>
    </xf>
    <xf numFmtId="3" fontId="16" fillId="2" borderId="7" xfId="6" applyNumberFormat="1" applyFont="1" applyFill="1" applyBorder="1" applyAlignment="1">
      <alignment horizontal="center" vertical="center" wrapText="1"/>
    </xf>
    <xf numFmtId="3" fontId="2" fillId="2" borderId="1" xfId="6" applyNumberFormat="1" applyFont="1" applyFill="1" applyBorder="1" applyAlignment="1">
      <alignment horizontal="center" vertical="center" wrapText="1"/>
    </xf>
    <xf numFmtId="3" fontId="2" fillId="0" borderId="1" xfId="6" applyNumberFormat="1" applyFont="1" applyFill="1" applyBorder="1" applyAlignment="1">
      <alignment horizontal="center" vertical="center"/>
    </xf>
    <xf numFmtId="1" fontId="16" fillId="2" borderId="1" xfId="6" applyNumberFormat="1" applyFont="1" applyFill="1" applyBorder="1" applyAlignment="1">
      <alignment horizontal="center" vertical="center" wrapText="1"/>
    </xf>
    <xf numFmtId="1" fontId="50" fillId="2" borderId="1" xfId="0" applyNumberFormat="1" applyFont="1" applyFill="1" applyBorder="1" applyAlignment="1">
      <alignment horizontal="center" vertical="center"/>
    </xf>
    <xf numFmtId="0" fontId="60" fillId="0" borderId="0" xfId="6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" fontId="52" fillId="0" borderId="0" xfId="6" applyNumberFormat="1" applyFont="1" applyFill="1" applyBorder="1" applyAlignment="1">
      <alignment horizontal="center" vertical="center" wrapText="1"/>
    </xf>
    <xf numFmtId="0" fontId="52" fillId="0" borderId="0" xfId="6" applyFont="1" applyFill="1" applyBorder="1" applyAlignment="1">
      <alignment horizontal="center" vertical="center" wrapText="1"/>
    </xf>
    <xf numFmtId="1" fontId="10" fillId="2" borderId="1" xfId="6" applyNumberFormat="1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/>
    </xf>
    <xf numFmtId="0" fontId="6" fillId="0" borderId="0" xfId="6" applyFont="1" applyFill="1" applyBorder="1" applyAlignment="1"/>
    <xf numFmtId="0" fontId="5" fillId="2" borderId="0" xfId="6" applyFont="1" applyFill="1" applyBorder="1" applyAlignment="1">
      <alignment horizontal="right"/>
    </xf>
    <xf numFmtId="4" fontId="2" fillId="2" borderId="1" xfId="6" applyNumberFormat="1" applyFont="1" applyFill="1" applyBorder="1" applyAlignment="1" applyProtection="1">
      <alignment horizontal="center" vertical="center"/>
      <protection locked="0"/>
    </xf>
    <xf numFmtId="4" fontId="2" fillId="0" borderId="1" xfId="6" applyNumberFormat="1" applyFont="1" applyFill="1" applyBorder="1" applyAlignment="1" applyProtection="1">
      <alignment horizontal="center" vertical="center"/>
      <protection locked="0"/>
    </xf>
    <xf numFmtId="4" fontId="55" fillId="0" borderId="1" xfId="0" applyNumberFormat="1" applyFont="1" applyBorder="1" applyProtection="1">
      <protection locked="0"/>
    </xf>
    <xf numFmtId="2" fontId="53" fillId="0" borderId="1" xfId="0" applyNumberFormat="1" applyFont="1" applyFill="1" applyBorder="1" applyProtection="1">
      <protection locked="0"/>
    </xf>
    <xf numFmtId="4" fontId="5" fillId="0" borderId="6" xfId="6" applyNumberFormat="1" applyFont="1" applyFill="1" applyBorder="1" applyAlignment="1">
      <alignment horizontal="center" vertical="center" wrapText="1"/>
    </xf>
    <xf numFmtId="4" fontId="5" fillId="0" borderId="5" xfId="6" applyNumberFormat="1" applyFont="1" applyFill="1" applyBorder="1" applyAlignment="1">
      <alignment horizontal="center" vertical="center" wrapText="1"/>
    </xf>
    <xf numFmtId="165" fontId="56" fillId="7" borderId="1" xfId="0" applyNumberFormat="1" applyFont="1" applyFill="1" applyBorder="1"/>
    <xf numFmtId="165" fontId="56" fillId="7" borderId="8" xfId="0" applyNumberFormat="1" applyFont="1" applyFill="1" applyBorder="1"/>
    <xf numFmtId="4" fontId="6" fillId="7" borderId="1" xfId="6" applyNumberFormat="1" applyFont="1" applyFill="1" applyBorder="1" applyAlignment="1">
      <alignment horizontal="center" vertical="center"/>
    </xf>
    <xf numFmtId="4" fontId="15" fillId="7" borderId="1" xfId="6" applyNumberFormat="1" applyFont="1" applyFill="1" applyBorder="1" applyAlignment="1">
      <alignment horizontal="center" vertical="center"/>
    </xf>
    <xf numFmtId="4" fontId="15" fillId="7" borderId="7" xfId="6" applyNumberFormat="1" applyFont="1" applyFill="1" applyBorder="1" applyAlignment="1">
      <alignment horizontal="center" vertical="center"/>
    </xf>
    <xf numFmtId="4" fontId="6" fillId="7" borderId="6" xfId="6" applyNumberFormat="1" applyFont="1" applyFill="1" applyBorder="1" applyAlignment="1">
      <alignment horizontal="center" vertical="center"/>
    </xf>
    <xf numFmtId="4" fontId="6" fillId="7" borderId="5" xfId="6" applyNumberFormat="1" applyFont="1" applyFill="1" applyBorder="1" applyAlignment="1">
      <alignment horizontal="center" vertical="center"/>
    </xf>
    <xf numFmtId="4" fontId="55" fillId="2" borderId="1" xfId="0" quotePrefix="1" applyNumberFormat="1" applyFont="1" applyFill="1" applyBorder="1" applyAlignment="1">
      <alignment horizontal="center"/>
    </xf>
    <xf numFmtId="4" fontId="53" fillId="5" borderId="7" xfId="0" applyNumberFormat="1" applyFont="1" applyFill="1" applyBorder="1"/>
    <xf numFmtId="4" fontId="2" fillId="0" borderId="1" xfId="0" applyNumberFormat="1" applyFont="1" applyFill="1" applyBorder="1" applyProtection="1">
      <protection locked="0"/>
    </xf>
    <xf numFmtId="4" fontId="55" fillId="0" borderId="7" xfId="0" applyNumberFormat="1" applyFont="1" applyBorder="1" applyProtection="1">
      <protection locked="0"/>
    </xf>
    <xf numFmtId="4" fontId="55" fillId="2" borderId="1" xfId="0" applyNumberFormat="1" applyFont="1" applyFill="1" applyBorder="1" applyAlignment="1">
      <alignment horizontal="center"/>
    </xf>
    <xf numFmtId="4" fontId="53" fillId="2" borderId="1" xfId="0" applyNumberFormat="1" applyFont="1" applyFill="1" applyBorder="1" applyAlignment="1">
      <alignment horizontal="center"/>
    </xf>
    <xf numFmtId="4" fontId="56" fillId="2" borderId="1" xfId="0" applyNumberFormat="1" applyFont="1" applyFill="1" applyBorder="1" applyAlignment="1">
      <alignment horizontal="center"/>
    </xf>
    <xf numFmtId="4" fontId="55" fillId="5" borderId="7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53" fillId="5" borderId="8" xfId="0" applyNumberFormat="1" applyFont="1" applyFill="1" applyBorder="1"/>
    <xf numFmtId="4" fontId="55" fillId="0" borderId="8" xfId="0" applyNumberFormat="1" applyFont="1" applyBorder="1" applyProtection="1">
      <protection locked="0"/>
    </xf>
    <xf numFmtId="4" fontId="55" fillId="2" borderId="8" xfId="0" applyNumberFormat="1" applyFont="1" applyFill="1" applyBorder="1" applyAlignment="1">
      <alignment horizontal="center"/>
    </xf>
    <xf numFmtId="4" fontId="55" fillId="0" borderId="9" xfId="0" applyNumberFormat="1" applyFont="1" applyBorder="1" applyProtection="1">
      <protection locked="0"/>
    </xf>
    <xf numFmtId="0" fontId="51" fillId="0" borderId="0" xfId="0" applyFont="1" applyFill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 vertical="center"/>
    </xf>
    <xf numFmtId="0" fontId="2" fillId="2" borderId="6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4" fontId="6" fillId="7" borderId="8" xfId="6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 wrapText="1"/>
    </xf>
    <xf numFmtId="0" fontId="6" fillId="2" borderId="10" xfId="6" applyFont="1" applyFill="1" applyBorder="1" applyAlignment="1">
      <alignment horizontal="center" vertical="center"/>
    </xf>
    <xf numFmtId="4" fontId="6" fillId="2" borderId="11" xfId="6" applyNumberFormat="1" applyFont="1" applyFill="1" applyBorder="1" applyAlignment="1" applyProtection="1">
      <alignment horizontal="center" vertical="center"/>
      <protection locked="0"/>
    </xf>
    <xf numFmtId="4" fontId="6" fillId="7" borderId="11" xfId="6" applyNumberFormat="1" applyFont="1" applyFill="1" applyBorder="1" applyAlignment="1">
      <alignment horizontal="center" vertical="center"/>
    </xf>
    <xf numFmtId="4" fontId="6" fillId="7" borderId="11" xfId="6" applyNumberFormat="1" applyFont="1" applyFill="1" applyBorder="1" applyAlignment="1" applyProtection="1">
      <alignment horizontal="center" vertical="center"/>
      <protection locked="0"/>
    </xf>
    <xf numFmtId="4" fontId="6" fillId="7" borderId="12" xfId="6" applyNumberFormat="1" applyFont="1" applyFill="1" applyBorder="1" applyAlignment="1">
      <alignment horizontal="center" vertical="center"/>
    </xf>
    <xf numFmtId="4" fontId="17" fillId="7" borderId="7" xfId="6" applyNumberFormat="1" applyFont="1" applyFill="1" applyBorder="1" applyAlignment="1">
      <alignment horizontal="center" vertical="center"/>
    </xf>
    <xf numFmtId="4" fontId="18" fillId="0" borderId="7" xfId="6" applyNumberFormat="1" applyFont="1" applyFill="1" applyBorder="1" applyAlignment="1" applyProtection="1">
      <alignment horizontal="center" vertical="center"/>
      <protection locked="0"/>
    </xf>
    <xf numFmtId="4" fontId="18" fillId="0" borderId="9" xfId="6" applyNumberFormat="1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Border="1" applyAlignment="1"/>
    <xf numFmtId="0" fontId="51" fillId="0" borderId="13" xfId="0" applyFont="1" applyBorder="1" applyAlignment="1">
      <alignment horizontal="center" vertical="center" wrapText="1"/>
    </xf>
    <xf numFmtId="4" fontId="20" fillId="2" borderId="7" xfId="6" applyNumberFormat="1" applyFont="1" applyFill="1" applyBorder="1" applyAlignment="1" applyProtection="1">
      <alignment horizontal="center" vertical="center"/>
      <protection locked="0"/>
    </xf>
    <xf numFmtId="0" fontId="8" fillId="2" borderId="7" xfId="6" applyFont="1" applyFill="1" applyBorder="1" applyAlignment="1">
      <alignment horizontal="center" vertical="center" wrapText="1"/>
    </xf>
    <xf numFmtId="16" fontId="10" fillId="2" borderId="2" xfId="6" applyNumberFormat="1" applyFont="1" applyFill="1" applyBorder="1" applyAlignment="1">
      <alignment horizontal="left" vertical="center" indent="2"/>
    </xf>
    <xf numFmtId="16" fontId="10" fillId="2" borderId="3" xfId="6" applyNumberFormat="1" applyFont="1" applyFill="1" applyBorder="1" applyAlignment="1">
      <alignment horizontal="left" vertical="center" indent="2"/>
    </xf>
    <xf numFmtId="4" fontId="55" fillId="0" borderId="1" xfId="0" applyNumberFormat="1" applyFont="1" applyBorder="1" applyAlignment="1" applyProtection="1">
      <alignment horizontal="center"/>
      <protection locked="0"/>
    </xf>
    <xf numFmtId="4" fontId="53" fillId="5" borderId="1" xfId="0" applyNumberFormat="1" applyFont="1" applyFill="1" applyBorder="1" applyProtection="1">
      <protection locked="0"/>
    </xf>
    <xf numFmtId="165" fontId="56" fillId="7" borderId="1" xfId="0" applyNumberFormat="1" applyFont="1" applyFill="1" applyBorder="1" applyAlignment="1">
      <alignment horizontal="center"/>
    </xf>
    <xf numFmtId="2" fontId="2" fillId="7" borderId="8" xfId="6" applyNumberFormat="1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4" fontId="7" fillId="7" borderId="1" xfId="6" applyNumberFormat="1" applyFont="1" applyFill="1" applyBorder="1" applyAlignment="1">
      <alignment horizontal="center" vertical="center"/>
    </xf>
    <xf numFmtId="0" fontId="8" fillId="2" borderId="2" xfId="6" applyFont="1" applyFill="1" applyBorder="1" applyAlignment="1">
      <alignment vertical="center"/>
    </xf>
    <xf numFmtId="4" fontId="21" fillId="7" borderId="1" xfId="6" applyNumberFormat="1" applyFont="1" applyFill="1" applyBorder="1" applyAlignment="1">
      <alignment horizontal="center" vertical="center"/>
    </xf>
    <xf numFmtId="16" fontId="8" fillId="2" borderId="2" xfId="6" applyNumberFormat="1" applyFont="1" applyFill="1" applyBorder="1" applyAlignment="1">
      <alignment vertical="center"/>
    </xf>
    <xf numFmtId="4" fontId="8" fillId="2" borderId="1" xfId="6" applyNumberFormat="1" applyFont="1" applyFill="1" applyBorder="1" applyAlignment="1" applyProtection="1">
      <alignment horizontal="center" vertical="center"/>
      <protection locked="0"/>
    </xf>
    <xf numFmtId="4" fontId="21" fillId="2" borderId="1" xfId="6" applyNumberFormat="1" applyFont="1" applyFill="1" applyBorder="1" applyAlignment="1" applyProtection="1">
      <alignment horizontal="center" vertical="center"/>
      <protection locked="0"/>
    </xf>
    <xf numFmtId="0" fontId="8" fillId="2" borderId="3" xfId="6" applyFont="1" applyFill="1" applyBorder="1" applyAlignment="1">
      <alignment vertical="center"/>
    </xf>
    <xf numFmtId="4" fontId="8" fillId="2" borderId="8" xfId="6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 wrapText="1" indent="1"/>
    </xf>
    <xf numFmtId="0" fontId="5" fillId="0" borderId="0" xfId="6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wrapText="1"/>
    </xf>
    <xf numFmtId="0" fontId="65" fillId="0" borderId="0" xfId="5" applyFont="1" applyAlignment="1"/>
    <xf numFmtId="4" fontId="10" fillId="2" borderId="7" xfId="6" applyNumberFormat="1" applyFont="1" applyFill="1" applyBorder="1" applyAlignment="1">
      <alignment horizontal="center" vertical="center" wrapText="1"/>
    </xf>
    <xf numFmtId="1" fontId="16" fillId="2" borderId="7" xfId="6" applyNumberFormat="1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right"/>
    </xf>
    <xf numFmtId="4" fontId="55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6" fillId="2" borderId="2" xfId="6" applyNumberFormat="1" applyFont="1" applyFill="1" applyBorder="1" applyAlignment="1">
      <alignment horizontal="left" wrapText="1" indent="2"/>
    </xf>
    <xf numFmtId="0" fontId="2" fillId="0" borderId="1" xfId="6" applyFont="1" applyFill="1" applyBorder="1" applyAlignment="1">
      <alignment horizontal="center" vertical="center"/>
    </xf>
    <xf numFmtId="49" fontId="10" fillId="2" borderId="3" xfId="6" applyNumberFormat="1" applyFont="1" applyFill="1" applyBorder="1" applyAlignment="1">
      <alignment horizontal="center" vertical="center"/>
    </xf>
    <xf numFmtId="166" fontId="8" fillId="0" borderId="1" xfId="6" quotePrefix="1" applyNumberFormat="1" applyFont="1" applyFill="1" applyBorder="1" applyAlignment="1" applyProtection="1">
      <alignment horizontal="center" vertical="center"/>
      <protection locked="0"/>
    </xf>
    <xf numFmtId="166" fontId="8" fillId="0" borderId="7" xfId="6" quotePrefix="1" applyNumberFormat="1" applyFont="1" applyFill="1" applyBorder="1" applyAlignment="1" applyProtection="1">
      <alignment horizontal="center" vertical="center"/>
      <protection locked="0"/>
    </xf>
    <xf numFmtId="166" fontId="6" fillId="7" borderId="1" xfId="6" applyNumberFormat="1" applyFont="1" applyFill="1" applyBorder="1" applyAlignment="1">
      <alignment horizontal="center" vertical="center"/>
    </xf>
    <xf numFmtId="166" fontId="66" fillId="7" borderId="1" xfId="6" quotePrefix="1" applyNumberFormat="1" applyFont="1" applyFill="1" applyBorder="1" applyAlignment="1">
      <alignment horizontal="center" vertical="center"/>
    </xf>
    <xf numFmtId="166" fontId="66" fillId="7" borderId="7" xfId="6" quotePrefix="1" applyNumberFormat="1" applyFont="1" applyFill="1" applyBorder="1" applyAlignment="1">
      <alignment horizontal="center" vertical="center"/>
    </xf>
    <xf numFmtId="0" fontId="51" fillId="0" borderId="1" xfId="0" applyFont="1" applyBorder="1" applyAlignment="1" applyProtection="1">
      <alignment vertical="center" wrapText="1"/>
      <protection locked="0"/>
    </xf>
    <xf numFmtId="49" fontId="2" fillId="2" borderId="4" xfId="6" applyNumberFormat="1" applyFont="1" applyFill="1" applyBorder="1" applyAlignment="1">
      <alignment horizontal="center" vertical="center"/>
    </xf>
    <xf numFmtId="16" fontId="16" fillId="2" borderId="2" xfId="6" applyNumberFormat="1" applyFont="1" applyFill="1" applyBorder="1" applyAlignment="1">
      <alignment horizontal="center" wrapText="1"/>
    </xf>
    <xf numFmtId="0" fontId="53" fillId="0" borderId="0" xfId="0" applyFont="1" applyBorder="1" applyAlignment="1">
      <alignment vertical="center"/>
    </xf>
    <xf numFmtId="16" fontId="53" fillId="0" borderId="0" xfId="0" applyNumberFormat="1" applyFont="1"/>
    <xf numFmtId="0" fontId="50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53" fillId="0" borderId="0" xfId="0" applyFont="1" applyAlignment="1" applyProtection="1">
      <protection locked="0"/>
    </xf>
    <xf numFmtId="0" fontId="2" fillId="0" borderId="0" xfId="6" applyFont="1" applyFill="1" applyBorder="1" applyAlignment="1" applyProtection="1">
      <alignment vertical="center"/>
      <protection locked="0"/>
    </xf>
    <xf numFmtId="0" fontId="60" fillId="0" borderId="0" xfId="6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2" fillId="0" borderId="0" xfId="6" applyFont="1" applyFill="1" applyBorder="1" applyAlignment="1" applyProtection="1">
      <alignment vertical="center" wrapText="1"/>
      <protection locked="0"/>
    </xf>
    <xf numFmtId="0" fontId="2" fillId="0" borderId="0" xfId="6" applyFont="1" applyFill="1" applyBorder="1" applyAlignment="1" applyProtection="1">
      <alignment horizontal="center" vertical="center"/>
      <protection locked="0"/>
    </xf>
    <xf numFmtId="0" fontId="2" fillId="2" borderId="0" xfId="6" applyFont="1" applyFill="1" applyBorder="1" applyAlignment="1" applyProtection="1">
      <alignment vertical="center"/>
      <protection locked="0"/>
    </xf>
    <xf numFmtId="0" fontId="51" fillId="0" borderId="1" xfId="0" applyFont="1" applyBorder="1" applyAlignment="1" applyProtection="1">
      <alignment horizontal="center" vertical="center" wrapText="1"/>
      <protection locked="0"/>
    </xf>
    <xf numFmtId="0" fontId="10" fillId="2" borderId="7" xfId="6" applyNumberFormat="1" applyFont="1" applyFill="1" applyBorder="1" applyAlignment="1">
      <alignment horizontal="center" vertical="center"/>
    </xf>
    <xf numFmtId="0" fontId="55" fillId="2" borderId="8" xfId="0" applyFont="1" applyFill="1" applyBorder="1" applyAlignment="1">
      <alignment horizontal="center" vertical="center"/>
    </xf>
    <xf numFmtId="0" fontId="55" fillId="2" borderId="8" xfId="0" applyFont="1" applyFill="1" applyBorder="1" applyProtection="1">
      <protection locked="0"/>
    </xf>
    <xf numFmtId="1" fontId="10" fillId="2" borderId="2" xfId="6" applyNumberFormat="1" applyFont="1" applyFill="1" applyBorder="1" applyAlignment="1">
      <alignment horizontal="center" vertical="center"/>
    </xf>
    <xf numFmtId="166" fontId="8" fillId="2" borderId="1" xfId="6" applyNumberFormat="1" applyFont="1" applyFill="1" applyBorder="1" applyAlignment="1" applyProtection="1">
      <alignment vertical="center"/>
      <protection locked="0"/>
    </xf>
    <xf numFmtId="166" fontId="8" fillId="2" borderId="7" xfId="6" applyNumberFormat="1" applyFont="1" applyFill="1" applyBorder="1" applyAlignment="1" applyProtection="1">
      <alignment vertical="center"/>
      <protection locked="0"/>
    </xf>
    <xf numFmtId="166" fontId="8" fillId="2" borderId="8" xfId="6" applyNumberFormat="1" applyFont="1" applyFill="1" applyBorder="1" applyAlignment="1" applyProtection="1">
      <alignment vertical="center"/>
      <protection locked="0"/>
    </xf>
    <xf numFmtId="166" fontId="8" fillId="2" borderId="9" xfId="6" applyNumberFormat="1" applyFont="1" applyFill="1" applyBorder="1" applyAlignment="1" applyProtection="1">
      <alignment vertical="center"/>
      <protection locked="0"/>
    </xf>
    <xf numFmtId="3" fontId="55" fillId="2" borderId="1" xfId="0" applyNumberFormat="1" applyFont="1" applyFill="1" applyBorder="1" applyAlignment="1">
      <alignment horizontal="center" vertical="center" wrapText="1"/>
    </xf>
    <xf numFmtId="4" fontId="55" fillId="2" borderId="7" xfId="0" quotePrefix="1" applyNumberFormat="1" applyFont="1" applyFill="1" applyBorder="1" applyAlignment="1">
      <alignment horizontal="center"/>
    </xf>
    <xf numFmtId="4" fontId="55" fillId="2" borderId="7" xfId="0" applyNumberFormat="1" applyFont="1" applyFill="1" applyBorder="1" applyAlignment="1">
      <alignment horizontal="center"/>
    </xf>
    <xf numFmtId="4" fontId="55" fillId="0" borderId="7" xfId="0" applyNumberFormat="1" applyFont="1" applyBorder="1" applyAlignment="1" applyProtection="1">
      <alignment horizontal="center"/>
      <protection locked="0"/>
    </xf>
    <xf numFmtId="4" fontId="53" fillId="5" borderId="7" xfId="0" applyNumberFormat="1" applyFont="1" applyFill="1" applyBorder="1" applyProtection="1">
      <protection locked="0"/>
    </xf>
    <xf numFmtId="4" fontId="55" fillId="2" borderId="9" xfId="0" applyNumberFormat="1" applyFont="1" applyFill="1" applyBorder="1" applyAlignment="1">
      <alignment horizontal="center"/>
    </xf>
    <xf numFmtId="49" fontId="10" fillId="2" borderId="14" xfId="6" applyNumberFormat="1" applyFont="1" applyFill="1" applyBorder="1" applyAlignment="1">
      <alignment horizontal="center" vertical="center"/>
    </xf>
    <xf numFmtId="0" fontId="2" fillId="2" borderId="15" xfId="6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wrapText="1"/>
    </xf>
    <xf numFmtId="3" fontId="55" fillId="2" borderId="7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 indent="1"/>
    </xf>
    <xf numFmtId="0" fontId="50" fillId="0" borderId="0" xfId="0" applyFont="1" applyAlignment="1" applyProtection="1">
      <alignment horizontal="center"/>
      <protection locked="0"/>
    </xf>
    <xf numFmtId="0" fontId="50" fillId="2" borderId="0" xfId="0" applyFont="1" applyFill="1" applyProtection="1">
      <protection locked="0"/>
    </xf>
    <xf numFmtId="4" fontId="2" fillId="0" borderId="0" xfId="6" applyNumberFormat="1" applyFont="1" applyFill="1" applyBorder="1" applyAlignment="1" applyProtection="1">
      <alignment vertical="center" wrapText="1"/>
      <protection locked="0"/>
    </xf>
    <xf numFmtId="0" fontId="2" fillId="2" borderId="0" xfId="6" applyFont="1" applyFill="1" applyBorder="1" applyAlignment="1" applyProtection="1">
      <alignment horizontal="center" vertical="center" wrapText="1"/>
      <protection locked="0"/>
    </xf>
    <xf numFmtId="0" fontId="60" fillId="0" borderId="0" xfId="6" applyFont="1" applyFill="1" applyBorder="1" applyAlignment="1" applyProtection="1">
      <alignment vertical="center" wrapText="1"/>
      <protection locked="0"/>
    </xf>
    <xf numFmtId="4" fontId="50" fillId="0" borderId="0" xfId="0" applyNumberFormat="1" applyFont="1" applyProtection="1">
      <protection locked="0"/>
    </xf>
    <xf numFmtId="0" fontId="52" fillId="0" borderId="0" xfId="0" applyFont="1" applyProtection="1">
      <protection locked="0"/>
    </xf>
    <xf numFmtId="4" fontId="52" fillId="2" borderId="0" xfId="0" applyNumberFormat="1" applyFont="1" applyFill="1" applyProtection="1">
      <protection locked="0"/>
    </xf>
    <xf numFmtId="4" fontId="58" fillId="0" borderId="0" xfId="0" applyNumberFormat="1" applyFont="1" applyProtection="1">
      <protection locked="0"/>
    </xf>
    <xf numFmtId="4" fontId="50" fillId="0" borderId="0" xfId="0" applyNumberFormat="1" applyFont="1" applyFill="1" applyProtection="1">
      <protection locked="0"/>
    </xf>
    <xf numFmtId="4" fontId="2" fillId="7" borderId="1" xfId="6" applyNumberFormat="1" applyFont="1" applyFill="1" applyBorder="1" applyAlignment="1">
      <alignment horizontal="right" vertical="center"/>
    </xf>
    <xf numFmtId="4" fontId="2" fillId="7" borderId="8" xfId="6" applyNumberFormat="1" applyFont="1" applyFill="1" applyBorder="1" applyAlignment="1">
      <alignment horizontal="right" vertical="center"/>
    </xf>
    <xf numFmtId="4" fontId="2" fillId="7" borderId="1" xfId="6" applyNumberFormat="1" applyFont="1" applyFill="1" applyBorder="1" applyAlignment="1">
      <alignment horizontal="right" vertical="center" indent="1"/>
    </xf>
    <xf numFmtId="4" fontId="2" fillId="7" borderId="8" xfId="6" applyNumberFormat="1" applyFont="1" applyFill="1" applyBorder="1" applyAlignment="1">
      <alignment horizontal="right" vertical="center" indent="1"/>
    </xf>
    <xf numFmtId="4" fontId="2" fillId="7" borderId="1" xfId="6" applyNumberFormat="1" applyFont="1" applyFill="1" applyBorder="1" applyAlignment="1">
      <alignment horizontal="center" vertical="center"/>
    </xf>
    <xf numFmtId="4" fontId="2" fillId="7" borderId="8" xfId="6" applyNumberFormat="1" applyFont="1" applyFill="1" applyBorder="1" applyAlignment="1">
      <alignment horizontal="center" vertical="center"/>
    </xf>
    <xf numFmtId="16" fontId="16" fillId="2" borderId="16" xfId="6" applyNumberFormat="1" applyFont="1" applyFill="1" applyBorder="1" applyAlignment="1">
      <alignment horizontal="left" wrapText="1" indent="2"/>
    </xf>
    <xf numFmtId="4" fontId="53" fillId="5" borderId="17" xfId="0" applyNumberFormat="1" applyFont="1" applyFill="1" applyBorder="1"/>
    <xf numFmtId="4" fontId="53" fillId="5" borderId="15" xfId="0" applyNumberFormat="1" applyFont="1" applyFill="1" applyBorder="1"/>
    <xf numFmtId="4" fontId="53" fillId="5" borderId="6" xfId="0" applyNumberFormat="1" applyFont="1" applyFill="1" applyBorder="1"/>
    <xf numFmtId="4" fontId="53" fillId="5" borderId="5" xfId="0" applyNumberFormat="1" applyFont="1" applyFill="1" applyBorder="1"/>
    <xf numFmtId="16" fontId="16" fillId="2" borderId="3" xfId="6" applyNumberFormat="1" applyFont="1" applyFill="1" applyBorder="1" applyAlignment="1">
      <alignment horizontal="left" wrapText="1" indent="2"/>
    </xf>
    <xf numFmtId="4" fontId="53" fillId="5" borderId="18" xfId="0" applyNumberFormat="1" applyFont="1" applyFill="1" applyBorder="1"/>
    <xf numFmtId="4" fontId="2" fillId="0" borderId="8" xfId="0" applyNumberFormat="1" applyFont="1" applyBorder="1" applyProtection="1">
      <protection locked="0"/>
    </xf>
    <xf numFmtId="16" fontId="10" fillId="2" borderId="19" xfId="6" applyNumberFormat="1" applyFont="1" applyFill="1" applyBorder="1" applyAlignment="1">
      <alignment horizontal="left" vertical="center" indent="2"/>
    </xf>
    <xf numFmtId="4" fontId="53" fillId="2" borderId="20" xfId="0" applyNumberFormat="1" applyFont="1" applyFill="1" applyBorder="1" applyProtection="1">
      <protection locked="0"/>
    </xf>
    <xf numFmtId="4" fontId="55" fillId="2" borderId="20" xfId="0" applyNumberFormat="1" applyFont="1" applyFill="1" applyBorder="1" applyAlignment="1">
      <alignment horizontal="center"/>
    </xf>
    <xf numFmtId="4" fontId="55" fillId="2" borderId="21" xfId="0" applyNumberFormat="1" applyFont="1" applyFill="1" applyBorder="1" applyAlignment="1">
      <alignment horizontal="center"/>
    </xf>
    <xf numFmtId="16" fontId="22" fillId="2" borderId="4" xfId="6" applyNumberFormat="1" applyFont="1" applyFill="1" applyBorder="1" applyAlignment="1">
      <alignment horizontal="left" wrapText="1" indent="2"/>
    </xf>
    <xf numFmtId="16" fontId="22" fillId="2" borderId="2" xfId="6" applyNumberFormat="1" applyFont="1" applyFill="1" applyBorder="1" applyAlignment="1">
      <alignment horizontal="left" wrapText="1" indent="2"/>
    </xf>
    <xf numFmtId="16" fontId="22" fillId="2" borderId="3" xfId="6" applyNumberFormat="1" applyFont="1" applyFill="1" applyBorder="1" applyAlignment="1">
      <alignment horizontal="left" wrapText="1" indent="2"/>
    </xf>
    <xf numFmtId="4" fontId="2" fillId="3" borderId="1" xfId="6" applyNumberFormat="1" applyFont="1" applyFill="1" applyBorder="1" applyAlignment="1">
      <alignment horizontal="center" vertical="center" wrapText="1"/>
    </xf>
    <xf numFmtId="4" fontId="6" fillId="3" borderId="1" xfId="6" applyNumberFormat="1" applyFont="1" applyFill="1" applyBorder="1" applyAlignment="1">
      <alignment horizontal="center" vertical="center"/>
    </xf>
    <xf numFmtId="4" fontId="2" fillId="3" borderId="1" xfId="6" applyNumberFormat="1" applyFont="1" applyFill="1" applyBorder="1" applyAlignment="1" applyProtection="1">
      <alignment horizontal="center" vertical="center"/>
    </xf>
    <xf numFmtId="165" fontId="5" fillId="3" borderId="1" xfId="6" applyNumberFormat="1" applyFont="1" applyFill="1" applyBorder="1" applyAlignment="1" applyProtection="1">
      <alignment horizontal="right" vertical="center"/>
    </xf>
    <xf numFmtId="165" fontId="2" fillId="3" borderId="1" xfId="6" applyNumberFormat="1" applyFont="1" applyFill="1" applyBorder="1" applyAlignment="1" applyProtection="1">
      <alignment horizontal="right" vertical="center"/>
    </xf>
    <xf numFmtId="165" fontId="5" fillId="3" borderId="1" xfId="6" applyNumberFormat="1" applyFont="1" applyFill="1" applyBorder="1" applyAlignment="1" applyProtection="1">
      <alignment horizontal="center" vertical="center"/>
    </xf>
    <xf numFmtId="165" fontId="5" fillId="3" borderId="8" xfId="6" applyNumberFormat="1" applyFont="1" applyFill="1" applyBorder="1" applyAlignment="1" applyProtection="1">
      <alignment horizontal="right" vertical="center"/>
    </xf>
    <xf numFmtId="165" fontId="5" fillId="3" borderId="7" xfId="6" applyNumberFormat="1" applyFont="1" applyFill="1" applyBorder="1" applyAlignment="1" applyProtection="1">
      <alignment horizontal="right" vertical="center"/>
    </xf>
    <xf numFmtId="165" fontId="5" fillId="3" borderId="9" xfId="6" applyNumberFormat="1" applyFont="1" applyFill="1" applyBorder="1" applyAlignment="1" applyProtection="1">
      <alignment horizontal="right" vertical="center"/>
    </xf>
    <xf numFmtId="4" fontId="55" fillId="3" borderId="1" xfId="0" applyNumberFormat="1" applyFont="1" applyFill="1" applyBorder="1"/>
    <xf numFmtId="0" fontId="2" fillId="0" borderId="0" xfId="6" applyFont="1" applyFill="1" applyBorder="1" applyAlignment="1" applyProtection="1">
      <alignment vertical="center"/>
    </xf>
    <xf numFmtId="0" fontId="60" fillId="0" borderId="0" xfId="6" applyFont="1" applyFill="1" applyBorder="1" applyAlignment="1" applyProtection="1">
      <alignment vertical="center"/>
    </xf>
    <xf numFmtId="0" fontId="2" fillId="2" borderId="0" xfId="6" applyFont="1" applyFill="1" applyBorder="1" applyAlignment="1" applyProtection="1">
      <alignment vertical="center" wrapText="1"/>
      <protection locked="0"/>
    </xf>
    <xf numFmtId="0" fontId="10" fillId="0" borderId="0" xfId="6" applyFont="1" applyFill="1" applyBorder="1" applyAlignment="1" applyProtection="1">
      <alignment vertical="center"/>
      <protection locked="0"/>
    </xf>
    <xf numFmtId="0" fontId="10" fillId="0" borderId="0" xfId="6" applyFont="1" applyFill="1" applyBorder="1" applyAlignment="1" applyProtection="1">
      <alignment horizontal="left" vertical="center"/>
      <protection locked="0"/>
    </xf>
    <xf numFmtId="0" fontId="2" fillId="0" borderId="0" xfId="6" applyFont="1" applyFill="1" applyBorder="1" applyAlignment="1" applyProtection="1">
      <alignment horizontal="left" vertical="center"/>
      <protection locked="0"/>
    </xf>
    <xf numFmtId="16" fontId="22" fillId="2" borderId="14" xfId="6" applyNumberFormat="1" applyFont="1" applyFill="1" applyBorder="1" applyAlignment="1">
      <alignment horizontal="left" wrapText="1" indent="2"/>
    </xf>
    <xf numFmtId="0" fontId="60" fillId="2" borderId="0" xfId="6" applyFont="1" applyFill="1" applyBorder="1" applyAlignment="1" applyProtection="1">
      <alignment vertical="center"/>
      <protection locked="0"/>
    </xf>
    <xf numFmtId="164" fontId="17" fillId="2" borderId="0" xfId="6" applyNumberFormat="1" applyFont="1" applyFill="1" applyBorder="1" applyAlignment="1" applyProtection="1">
      <alignment vertical="center"/>
      <protection locked="0"/>
    </xf>
    <xf numFmtId="49" fontId="18" fillId="2" borderId="0" xfId="6" applyNumberFormat="1" applyFont="1" applyFill="1" applyBorder="1" applyAlignment="1" applyProtection="1">
      <alignment vertical="top" wrapText="1" readingOrder="1"/>
      <protection locked="0"/>
    </xf>
    <xf numFmtId="49" fontId="20" fillId="2" borderId="0" xfId="6" applyNumberFormat="1" applyFont="1" applyFill="1" applyBorder="1" applyAlignment="1" applyProtection="1">
      <alignment vertical="top" wrapText="1" readingOrder="1"/>
      <protection locked="0"/>
    </xf>
    <xf numFmtId="0" fontId="10" fillId="0" borderId="0" xfId="6" applyFont="1" applyFill="1" applyBorder="1" applyAlignment="1" applyProtection="1">
      <alignment vertical="center"/>
    </xf>
    <xf numFmtId="0" fontId="2" fillId="0" borderId="0" xfId="6" applyFont="1" applyFill="1" applyBorder="1" applyAlignment="1" applyProtection="1">
      <alignment horizontal="left" vertical="center"/>
    </xf>
    <xf numFmtId="0" fontId="2" fillId="0" borderId="0" xfId="6" applyFont="1" applyFill="1" applyBorder="1" applyAlignment="1" applyProtection="1">
      <alignment horizontal="center" vertical="center"/>
    </xf>
    <xf numFmtId="0" fontId="2" fillId="2" borderId="0" xfId="6" applyFont="1" applyFill="1" applyBorder="1" applyAlignment="1" applyProtection="1">
      <alignment vertical="center"/>
    </xf>
    <xf numFmtId="0" fontId="2" fillId="2" borderId="0" xfId="6" applyFont="1" applyFill="1" applyBorder="1" applyAlignment="1" applyProtection="1">
      <alignment vertical="center" wrapText="1"/>
    </xf>
    <xf numFmtId="0" fontId="2" fillId="0" borderId="0" xfId="6" applyFont="1" applyFill="1" applyBorder="1" applyAlignment="1" applyProtection="1">
      <alignment vertical="center" wrapText="1"/>
    </xf>
    <xf numFmtId="4" fontId="55" fillId="0" borderId="1" xfId="0" applyNumberFormat="1" applyFont="1" applyBorder="1" applyAlignment="1" applyProtection="1">
      <alignment horizontal="center"/>
    </xf>
    <xf numFmtId="0" fontId="2" fillId="2" borderId="7" xfId="6" applyFont="1" applyFill="1" applyBorder="1" applyAlignment="1">
      <alignment horizontal="center" vertical="center" wrapText="1"/>
    </xf>
    <xf numFmtId="4" fontId="18" fillId="8" borderId="7" xfId="6" applyNumberFormat="1" applyFont="1" applyFill="1" applyBorder="1" applyAlignment="1" applyProtection="1">
      <alignment horizontal="center" vertical="center"/>
    </xf>
    <xf numFmtId="4" fontId="20" fillId="8" borderId="7" xfId="6" applyNumberFormat="1" applyFont="1" applyFill="1" applyBorder="1" applyAlignment="1" applyProtection="1">
      <alignment horizontal="center" vertical="center"/>
      <protection locked="0"/>
    </xf>
    <xf numFmtId="4" fontId="15" fillId="8" borderId="1" xfId="6" applyNumberFormat="1" applyFont="1" applyFill="1" applyBorder="1" applyAlignment="1" applyProtection="1">
      <alignment horizontal="center" vertical="center"/>
      <protection locked="0"/>
    </xf>
    <xf numFmtId="0" fontId="16" fillId="2" borderId="2" xfId="6" applyFont="1" applyFill="1" applyBorder="1" applyAlignment="1">
      <alignment horizontal="center" vertical="center" wrapText="1"/>
    </xf>
    <xf numFmtId="4" fontId="55" fillId="3" borderId="8" xfId="0" applyNumberFormat="1" applyFont="1" applyFill="1" applyBorder="1" applyProtection="1">
      <protection locked="0"/>
    </xf>
    <xf numFmtId="166" fontId="6" fillId="7" borderId="8" xfId="6" applyNumberFormat="1" applyFont="1" applyFill="1" applyBorder="1" applyAlignment="1">
      <alignment horizontal="center" vertical="center"/>
    </xf>
    <xf numFmtId="166" fontId="55" fillId="0" borderId="1" xfId="0" applyNumberFormat="1" applyFont="1" applyFill="1" applyBorder="1" applyProtection="1">
      <protection locked="0"/>
    </xf>
    <xf numFmtId="166" fontId="64" fillId="3" borderId="1" xfId="0" applyNumberFormat="1" applyFont="1" applyFill="1" applyBorder="1"/>
    <xf numFmtId="166" fontId="55" fillId="3" borderId="1" xfId="0" applyNumberFormat="1" applyFont="1" applyFill="1" applyBorder="1"/>
    <xf numFmtId="166" fontId="53" fillId="0" borderId="1" xfId="0" applyNumberFormat="1" applyFont="1" applyFill="1" applyBorder="1" applyProtection="1">
      <protection locked="0"/>
    </xf>
    <xf numFmtId="166" fontId="53" fillId="0" borderId="1" xfId="0" applyNumberFormat="1" applyFont="1" applyFill="1" applyBorder="1"/>
    <xf numFmtId="4" fontId="55" fillId="2" borderId="1" xfId="0" applyNumberFormat="1" applyFont="1" applyFill="1" applyBorder="1"/>
    <xf numFmtId="4" fontId="53" fillId="5" borderId="20" xfId="0" applyNumberFormat="1" applyFont="1" applyFill="1" applyBorder="1"/>
    <xf numFmtId="4" fontId="2" fillId="2" borderId="0" xfId="6" applyNumberFormat="1" applyFont="1" applyFill="1" applyBorder="1" applyAlignment="1" applyProtection="1">
      <alignment vertical="center" wrapText="1"/>
      <protection locked="0"/>
    </xf>
    <xf numFmtId="166" fontId="50" fillId="0" borderId="0" xfId="0" applyNumberFormat="1" applyFont="1" applyProtection="1">
      <protection locked="0"/>
    </xf>
    <xf numFmtId="4" fontId="24" fillId="0" borderId="0" xfId="8" applyNumberFormat="1" applyFont="1" applyBorder="1" applyAlignment="1">
      <alignment horizontal="right" vertical="top" wrapText="1"/>
    </xf>
    <xf numFmtId="0" fontId="50" fillId="0" borderId="1" xfId="0" applyFont="1" applyBorder="1" applyAlignment="1">
      <alignment wrapText="1"/>
    </xf>
    <xf numFmtId="0" fontId="50" fillId="2" borderId="1" xfId="0" applyFont="1" applyFill="1" applyBorder="1" applyAlignment="1">
      <alignment horizontal="center" wrapText="1"/>
    </xf>
    <xf numFmtId="0" fontId="50" fillId="0" borderId="1" xfId="0" applyFont="1" applyBorder="1" applyAlignment="1">
      <alignment horizontal="center" wrapText="1"/>
    </xf>
    <xf numFmtId="0" fontId="67" fillId="0" borderId="0" xfId="0" applyFont="1" applyBorder="1"/>
    <xf numFmtId="0" fontId="0" fillId="0" borderId="0" xfId="0" applyBorder="1"/>
    <xf numFmtId="0" fontId="67" fillId="0" borderId="22" xfId="0" applyFont="1" applyBorder="1"/>
    <xf numFmtId="0" fontId="67" fillId="0" borderId="13" xfId="0" applyFont="1" applyBorder="1"/>
    <xf numFmtId="0" fontId="50" fillId="2" borderId="23" xfId="0" applyFont="1" applyFill="1" applyBorder="1" applyAlignment="1">
      <alignment horizontal="center"/>
    </xf>
    <xf numFmtId="0" fontId="50" fillId="0" borderId="23" xfId="0" applyFont="1" applyBorder="1" applyAlignment="1">
      <alignment wrapText="1"/>
    </xf>
    <xf numFmtId="0" fontId="67" fillId="2" borderId="13" xfId="0" applyFont="1" applyFill="1" applyBorder="1"/>
    <xf numFmtId="0" fontId="0" fillId="2" borderId="0" xfId="0" applyFill="1"/>
    <xf numFmtId="0" fontId="50" fillId="2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67" fillId="2" borderId="24" xfId="0" applyFont="1" applyFill="1" applyBorder="1"/>
    <xf numFmtId="0" fontId="50" fillId="2" borderId="0" xfId="0" applyFont="1" applyFill="1" applyBorder="1" applyAlignment="1">
      <alignment horizontal="center"/>
    </xf>
    <xf numFmtId="0" fontId="50" fillId="0" borderId="0" xfId="0" applyFont="1" applyBorder="1" applyAlignment="1">
      <alignment wrapText="1"/>
    </xf>
    <xf numFmtId="0" fontId="50" fillId="2" borderId="25" xfId="0" applyFont="1" applyFill="1" applyBorder="1" applyAlignment="1">
      <alignment horizontal="center" vertical="center"/>
    </xf>
    <xf numFmtId="0" fontId="67" fillId="2" borderId="0" xfId="0" applyFont="1" applyFill="1" applyBorder="1"/>
    <xf numFmtId="4" fontId="2" fillId="2" borderId="26" xfId="6" applyNumberFormat="1" applyFont="1" applyFill="1" applyBorder="1" applyAlignment="1" applyProtection="1">
      <alignment horizontal="center" vertical="center"/>
    </xf>
    <xf numFmtId="0" fontId="50" fillId="2" borderId="0" xfId="0" applyFont="1" applyFill="1" applyAlignment="1">
      <alignment horizontal="center"/>
    </xf>
    <xf numFmtId="0" fontId="50" fillId="0" borderId="0" xfId="0" applyFont="1" applyAlignment="1">
      <alignment wrapText="1"/>
    </xf>
    <xf numFmtId="0" fontId="50" fillId="2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4" fontId="2" fillId="2" borderId="0" xfId="6" applyNumberFormat="1" applyFont="1" applyFill="1" applyBorder="1" applyAlignment="1" applyProtection="1">
      <alignment horizontal="center" vertical="center"/>
    </xf>
    <xf numFmtId="0" fontId="68" fillId="0" borderId="0" xfId="0" applyFont="1" applyAlignment="1">
      <alignment wrapText="1"/>
    </xf>
    <xf numFmtId="0" fontId="50" fillId="2" borderId="1" xfId="0" applyFont="1" applyFill="1" applyBorder="1" applyAlignment="1">
      <alignment wrapText="1"/>
    </xf>
    <xf numFmtId="0" fontId="51" fillId="0" borderId="27" xfId="0" applyFont="1" applyBorder="1" applyAlignment="1">
      <alignment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1" fillId="2" borderId="3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55" fillId="2" borderId="8" xfId="0" applyNumberFormat="1" applyFont="1" applyFill="1" applyBorder="1" applyAlignment="1">
      <alignment horizontal="center" vertical="center"/>
    </xf>
    <xf numFmtId="4" fontId="55" fillId="2" borderId="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0" fillId="2" borderId="11" xfId="0" applyFont="1" applyFill="1" applyBorder="1" applyAlignment="1">
      <alignment horizontal="center" vertical="center" wrapText="1"/>
    </xf>
    <xf numFmtId="0" fontId="51" fillId="2" borderId="11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4" fontId="51" fillId="2" borderId="6" xfId="0" applyNumberFormat="1" applyFont="1" applyFill="1" applyBorder="1" applyAlignment="1">
      <alignment horizontal="center" vertical="center" wrapText="1"/>
    </xf>
    <xf numFmtId="4" fontId="51" fillId="2" borderId="5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1" fillId="2" borderId="12" xfId="0" applyNumberFormat="1" applyFont="1" applyFill="1" applyBorder="1" applyAlignment="1">
      <alignment horizontal="center" vertical="center" wrapText="1"/>
    </xf>
    <xf numFmtId="166" fontId="52" fillId="0" borderId="0" xfId="0" applyNumberFormat="1" applyFont="1"/>
    <xf numFmtId="4" fontId="2" fillId="2" borderId="0" xfId="6" applyNumberFormat="1" applyFont="1" applyFill="1" applyBorder="1" applyAlignment="1" applyProtection="1">
      <alignment vertical="center"/>
      <protection locked="0"/>
    </xf>
    <xf numFmtId="3" fontId="2" fillId="2" borderId="1" xfId="6" applyNumberFormat="1" applyFont="1" applyFill="1" applyBorder="1" applyAlignment="1">
      <alignment horizontal="center" vertical="center"/>
    </xf>
    <xf numFmtId="49" fontId="2" fillId="2" borderId="1" xfId="6" applyNumberFormat="1" applyFont="1" applyFill="1" applyBorder="1" applyAlignment="1">
      <alignment horizontal="center" vertical="center"/>
    </xf>
    <xf numFmtId="4" fontId="5" fillId="0" borderId="1" xfId="6" applyNumberFormat="1" applyFont="1" applyFill="1" applyBorder="1" applyAlignment="1">
      <alignment horizontal="center" vertical="center" wrapText="1"/>
    </xf>
    <xf numFmtId="4" fontId="10" fillId="2" borderId="1" xfId="6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6" applyNumberFormat="1" applyFont="1" applyFill="1" applyBorder="1" applyAlignment="1">
      <alignment vertical="center"/>
    </xf>
    <xf numFmtId="0" fontId="23" fillId="2" borderId="1" xfId="6" applyFont="1" applyFill="1" applyBorder="1" applyAlignment="1"/>
    <xf numFmtId="16" fontId="10" fillId="2" borderId="1" xfId="6" applyNumberFormat="1" applyFont="1" applyFill="1" applyBorder="1" applyAlignment="1"/>
    <xf numFmtId="14" fontId="10" fillId="2" borderId="1" xfId="6" applyNumberFormat="1" applyFont="1" applyFill="1" applyBorder="1" applyAlignment="1"/>
    <xf numFmtId="0" fontId="10" fillId="2" borderId="1" xfId="6" applyFont="1" applyFill="1" applyBorder="1" applyAlignment="1"/>
    <xf numFmtId="4" fontId="30" fillId="2" borderId="1" xfId="6" applyNumberFormat="1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vertical="center"/>
    </xf>
    <xf numFmtId="4" fontId="55" fillId="2" borderId="1" xfId="0" applyNumberFormat="1" applyFont="1" applyFill="1" applyBorder="1" applyProtection="1">
      <protection locked="0"/>
    </xf>
    <xf numFmtId="4" fontId="55" fillId="2" borderId="7" xfId="0" applyNumberFormat="1" applyFont="1" applyFill="1" applyBorder="1" applyProtection="1">
      <protection locked="0"/>
    </xf>
    <xf numFmtId="4" fontId="55" fillId="2" borderId="8" xfId="0" applyNumberFormat="1" applyFont="1" applyFill="1" applyBorder="1" applyProtection="1">
      <protection locked="0"/>
    </xf>
    <xf numFmtId="4" fontId="55" fillId="2" borderId="9" xfId="0" applyNumberFormat="1" applyFont="1" applyFill="1" applyBorder="1" applyProtection="1">
      <protection locked="0"/>
    </xf>
    <xf numFmtId="4" fontId="69" fillId="4" borderId="1" xfId="0" applyNumberFormat="1" applyFont="1" applyFill="1" applyBorder="1"/>
    <xf numFmtId="4" fontId="51" fillId="0" borderId="1" xfId="0" applyNumberFormat="1" applyFont="1" applyBorder="1" applyProtection="1">
      <protection locked="0"/>
    </xf>
    <xf numFmtId="49" fontId="10" fillId="2" borderId="1" xfId="6" applyNumberFormat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left"/>
    </xf>
    <xf numFmtId="0" fontId="55" fillId="2" borderId="1" xfId="0" applyFont="1" applyFill="1" applyBorder="1" applyProtection="1">
      <protection locked="0"/>
    </xf>
    <xf numFmtId="0" fontId="8" fillId="2" borderId="1" xfId="6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4" fontId="6" fillId="2" borderId="1" xfId="6" applyNumberFormat="1" applyFont="1" applyFill="1" applyBorder="1" applyAlignment="1" applyProtection="1">
      <alignment horizontal="center" vertical="center"/>
      <protection locked="0"/>
    </xf>
    <xf numFmtId="4" fontId="6" fillId="0" borderId="1" xfId="6" applyNumberFormat="1" applyFont="1" applyFill="1" applyBorder="1" applyAlignment="1" applyProtection="1">
      <alignment horizontal="center" vertical="center"/>
      <protection locked="0"/>
    </xf>
    <xf numFmtId="4" fontId="55" fillId="0" borderId="17" xfId="0" applyNumberFormat="1" applyFont="1" applyBorder="1" applyProtection="1">
      <protection locked="0"/>
    </xf>
    <xf numFmtId="16" fontId="23" fillId="2" borderId="14" xfId="6" applyNumberFormat="1" applyFont="1" applyFill="1" applyBorder="1" applyAlignment="1">
      <alignment horizontal="left" vertical="center" indent="2"/>
    </xf>
    <xf numFmtId="4" fontId="53" fillId="5" borderId="23" xfId="0" applyNumberFormat="1" applyFont="1" applyFill="1" applyBorder="1"/>
    <xf numFmtId="4" fontId="53" fillId="5" borderId="15" xfId="0" applyNumberFormat="1" applyFont="1" applyFill="1" applyBorder="1" applyAlignment="1">
      <alignment horizontal="center"/>
    </xf>
    <xf numFmtId="4" fontId="53" fillId="5" borderId="18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Protection="1">
      <protection locked="0"/>
    </xf>
    <xf numFmtId="4" fontId="55" fillId="0" borderId="31" xfId="0" applyNumberFormat="1" applyFont="1" applyBorder="1" applyProtection="1">
      <protection locked="0"/>
    </xf>
    <xf numFmtId="0" fontId="55" fillId="2" borderId="1" xfId="0" applyFont="1" applyFill="1" applyBorder="1" applyAlignment="1">
      <alignment horizontal="center"/>
    </xf>
    <xf numFmtId="166" fontId="55" fillId="2" borderId="1" xfId="0" applyNumberFormat="1" applyFont="1" applyFill="1" applyBorder="1" applyProtection="1">
      <protection locked="0"/>
    </xf>
    <xf numFmtId="166" fontId="64" fillId="2" borderId="1" xfId="0" applyNumberFormat="1" applyFont="1" applyFill="1" applyBorder="1"/>
    <xf numFmtId="166" fontId="53" fillId="6" borderId="1" xfId="0" applyNumberFormat="1" applyFont="1" applyFill="1" applyBorder="1"/>
    <xf numFmtId="0" fontId="51" fillId="2" borderId="0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right" vertical="center" wrapText="1"/>
    </xf>
    <xf numFmtId="0" fontId="51" fillId="2" borderId="1" xfId="0" applyFont="1" applyFill="1" applyBorder="1" applyAlignment="1" applyProtection="1">
      <alignment vertical="center" wrapText="1"/>
      <protection locked="0"/>
    </xf>
    <xf numFmtId="0" fontId="56" fillId="2" borderId="0" xfId="0" applyFont="1" applyFill="1" applyAlignment="1">
      <alignment horizontal="right"/>
    </xf>
    <xf numFmtId="0" fontId="51" fillId="2" borderId="0" xfId="0" applyFont="1" applyFill="1" applyProtection="1">
      <protection locked="0"/>
    </xf>
    <xf numFmtId="4" fontId="55" fillId="2" borderId="8" xfId="0" applyNumberFormat="1" applyFont="1" applyFill="1" applyBorder="1"/>
    <xf numFmtId="4" fontId="51" fillId="2" borderId="1" xfId="0" applyNumberFormat="1" applyFont="1" applyFill="1" applyBorder="1" applyProtection="1">
      <protection locked="0"/>
    </xf>
    <xf numFmtId="0" fontId="55" fillId="5" borderId="2" xfId="0" applyFont="1" applyFill="1" applyBorder="1" applyAlignment="1">
      <alignment horizontal="left"/>
    </xf>
    <xf numFmtId="0" fontId="53" fillId="5" borderId="1" xfId="0" applyFont="1" applyFill="1" applyBorder="1" applyAlignment="1">
      <alignment horizontal="center" vertical="center"/>
    </xf>
    <xf numFmtId="0" fontId="6" fillId="5" borderId="1" xfId="6" applyFont="1" applyFill="1" applyBorder="1" applyAlignment="1">
      <alignment vertical="center" wrapText="1"/>
    </xf>
    <xf numFmtId="4" fontId="53" fillId="5" borderId="9" xfId="0" applyNumberFormat="1" applyFont="1" applyFill="1" applyBorder="1"/>
    <xf numFmtId="0" fontId="10" fillId="2" borderId="6" xfId="0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4" fontId="27" fillId="2" borderId="9" xfId="0" applyNumberFormat="1" applyFont="1" applyFill="1" applyBorder="1" applyAlignment="1">
      <alignment horizontal="center" vertical="center" wrapText="1"/>
    </xf>
    <xf numFmtId="0" fontId="55" fillId="0" borderId="0" xfId="0" applyFont="1" applyBorder="1"/>
    <xf numFmtId="164" fontId="50" fillId="0" borderId="8" xfId="0" applyNumberFormat="1" applyFont="1" applyBorder="1" applyAlignment="1">
      <alignment horizontal="center" vertical="center"/>
    </xf>
    <xf numFmtId="4" fontId="50" fillId="0" borderId="6" xfId="0" applyNumberFormat="1" applyFont="1" applyBorder="1" applyAlignment="1">
      <alignment horizontal="center" vertical="center" wrapText="1"/>
    </xf>
    <xf numFmtId="4" fontId="50" fillId="0" borderId="6" xfId="0" applyNumberFormat="1" applyFont="1" applyBorder="1" applyAlignment="1">
      <alignment horizontal="center" vertical="center"/>
    </xf>
    <xf numFmtId="4" fontId="50" fillId="9" borderId="5" xfId="0" applyNumberFormat="1" applyFont="1" applyFill="1" applyBorder="1" applyAlignment="1">
      <alignment horizontal="center" vertical="center"/>
    </xf>
    <xf numFmtId="4" fontId="50" fillId="9" borderId="6" xfId="0" applyNumberFormat="1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64" fontId="50" fillId="0" borderId="8" xfId="0" applyNumberFormat="1" applyFont="1" applyBorder="1" applyAlignment="1">
      <alignment horizontal="center"/>
    </xf>
    <xf numFmtId="164" fontId="50" fillId="9" borderId="8" xfId="0" applyNumberFormat="1" applyFont="1" applyFill="1" applyBorder="1" applyAlignment="1">
      <alignment horizontal="center"/>
    </xf>
    <xf numFmtId="164" fontId="50" fillId="2" borderId="0" xfId="0" applyNumberFormat="1" applyFont="1" applyFill="1" applyBorder="1" applyAlignment="1">
      <alignment horizontal="center"/>
    </xf>
    <xf numFmtId="0" fontId="50" fillId="2" borderId="0" xfId="0" applyFont="1" applyFill="1" applyBorder="1"/>
    <xf numFmtId="4" fontId="50" fillId="9" borderId="5" xfId="0" applyNumberFormat="1" applyFont="1" applyFill="1" applyBorder="1" applyAlignment="1">
      <alignment horizontal="center" vertical="center" wrapText="1"/>
    </xf>
    <xf numFmtId="164" fontId="70" fillId="9" borderId="9" xfId="0" applyNumberFormat="1" applyFont="1" applyFill="1" applyBorder="1" applyAlignment="1">
      <alignment horizontal="center"/>
    </xf>
    <xf numFmtId="0" fontId="50" fillId="9" borderId="18" xfId="0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horizontal="center" vertical="center"/>
    </xf>
    <xf numFmtId="164" fontId="22" fillId="9" borderId="9" xfId="0" applyNumberFormat="1" applyFont="1" applyFill="1" applyBorder="1" applyAlignment="1">
      <alignment horizontal="center" vertical="center"/>
    </xf>
    <xf numFmtId="4" fontId="50" fillId="0" borderId="5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 wrapText="1"/>
    </xf>
    <xf numFmtId="164" fontId="50" fillId="0" borderId="0" xfId="0" applyNumberFormat="1" applyFont="1" applyBorder="1"/>
    <xf numFmtId="4" fontId="50" fillId="2" borderId="8" xfId="0" applyNumberFormat="1" applyFont="1" applyFill="1" applyBorder="1" applyAlignment="1">
      <alignment horizontal="center" vertical="center"/>
    </xf>
    <xf numFmtId="4" fontId="50" fillId="2" borderId="9" xfId="0" applyNumberFormat="1" applyFont="1" applyFill="1" applyBorder="1" applyAlignment="1">
      <alignment horizontal="center" vertical="center"/>
    </xf>
    <xf numFmtId="4" fontId="50" fillId="2" borderId="0" xfId="0" applyNumberFormat="1" applyFont="1" applyFill="1" applyBorder="1" applyAlignment="1">
      <alignment horizontal="center" vertical="center"/>
    </xf>
    <xf numFmtId="0" fontId="55" fillId="0" borderId="23" xfId="0" applyFont="1" applyBorder="1"/>
    <xf numFmtId="0" fontId="50" fillId="0" borderId="0" xfId="0" applyFont="1" applyBorder="1" applyAlignment="1"/>
    <xf numFmtId="4" fontId="50" fillId="2" borderId="6" xfId="0" applyNumberFormat="1" applyFont="1" applyFill="1" applyBorder="1" applyAlignment="1">
      <alignment horizontal="center" vertical="center" wrapText="1"/>
    </xf>
    <xf numFmtId="4" fontId="50" fillId="9" borderId="8" xfId="0" applyNumberFormat="1" applyFont="1" applyFill="1" applyBorder="1" applyAlignment="1">
      <alignment horizontal="center" vertical="center"/>
    </xf>
    <xf numFmtId="4" fontId="50" fillId="2" borderId="8" xfId="0" applyNumberFormat="1" applyFont="1" applyFill="1" applyBorder="1" applyAlignment="1">
      <alignment horizontal="center"/>
    </xf>
    <xf numFmtId="4" fontId="50" fillId="2" borderId="15" xfId="0" applyNumberFormat="1" applyFont="1" applyFill="1" applyBorder="1" applyAlignment="1">
      <alignment horizontal="center" vertical="center" wrapText="1"/>
    </xf>
    <xf numFmtId="4" fontId="50" fillId="9" borderId="15" xfId="0" applyNumberFormat="1" applyFont="1" applyFill="1" applyBorder="1" applyAlignment="1">
      <alignment horizontal="center" vertical="center"/>
    </xf>
    <xf numFmtId="4" fontId="50" fillId="2" borderId="17" xfId="0" applyNumberFormat="1" applyFont="1" applyFill="1" applyBorder="1" applyAlignment="1">
      <alignment horizontal="center" vertical="center"/>
    </xf>
    <xf numFmtId="4" fontId="50" fillId="9" borderId="17" xfId="0" applyNumberFormat="1" applyFont="1" applyFill="1" applyBorder="1" applyAlignment="1">
      <alignment horizontal="center" vertical="center"/>
    </xf>
    <xf numFmtId="4" fontId="50" fillId="9" borderId="9" xfId="0" applyNumberFormat="1" applyFont="1" applyFill="1" applyBorder="1" applyAlignment="1">
      <alignment horizontal="center" vertical="center"/>
    </xf>
    <xf numFmtId="4" fontId="55" fillId="0" borderId="8" xfId="0" applyNumberFormat="1" applyFont="1" applyBorder="1" applyAlignment="1">
      <alignment horizontal="center" vertical="center" wrapText="1"/>
    </xf>
    <xf numFmtId="4" fontId="55" fillId="9" borderId="9" xfId="0" applyNumberFormat="1" applyFont="1" applyFill="1" applyBorder="1" applyAlignment="1">
      <alignment horizontal="center" vertical="center" wrapText="1"/>
    </xf>
    <xf numFmtId="4" fontId="50" fillId="2" borderId="0" xfId="0" applyNumberFormat="1" applyFont="1" applyFill="1" applyBorder="1"/>
    <xf numFmtId="4" fontId="50" fillId="0" borderId="8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 wrapText="1"/>
    </xf>
    <xf numFmtId="4" fontId="50" fillId="2" borderId="0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4" fontId="55" fillId="0" borderId="31" xfId="0" applyNumberFormat="1" applyFont="1" applyBorder="1" applyAlignment="1">
      <alignment horizontal="center" vertical="center" wrapText="1"/>
    </xf>
    <xf numFmtId="4" fontId="50" fillId="9" borderId="9" xfId="0" applyNumberFormat="1" applyFont="1" applyFill="1" applyBorder="1" applyAlignment="1">
      <alignment horizontal="center" vertical="center" wrapText="1"/>
    </xf>
    <xf numFmtId="4" fontId="50" fillId="0" borderId="26" xfId="0" applyNumberFormat="1" applyFont="1" applyBorder="1" applyAlignment="1">
      <alignment horizontal="center" vertical="center" wrapText="1"/>
    </xf>
    <xf numFmtId="3" fontId="50" fillId="0" borderId="5" xfId="0" applyNumberFormat="1" applyFont="1" applyBorder="1" applyAlignment="1">
      <alignment horizontal="center" vertical="center" wrapText="1"/>
    </xf>
    <xf numFmtId="4" fontId="55" fillId="0" borderId="9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4" fontId="55" fillId="0" borderId="8" xfId="0" applyNumberFormat="1" applyFont="1" applyBorder="1" applyAlignment="1">
      <alignment horizontal="center" vertical="center"/>
    </xf>
    <xf numFmtId="4" fontId="50" fillId="0" borderId="0" xfId="0" applyNumberFormat="1" applyFont="1" applyBorder="1"/>
    <xf numFmtId="1" fontId="50" fillId="2" borderId="6" xfId="0" applyNumberFormat="1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4" fontId="55" fillId="0" borderId="9" xfId="0" applyNumberFormat="1" applyFont="1" applyBorder="1" applyAlignment="1">
      <alignment horizontal="center" vertical="center"/>
    </xf>
    <xf numFmtId="164" fontId="50" fillId="2" borderId="0" xfId="0" applyNumberFormat="1" applyFont="1" applyFill="1" applyBorder="1"/>
    <xf numFmtId="164" fontId="50" fillId="2" borderId="0" xfId="0" applyNumberFormat="1" applyFont="1" applyFill="1" applyBorder="1" applyAlignment="1">
      <alignment horizontal="center" vertical="center"/>
    </xf>
    <xf numFmtId="164" fontId="50" fillId="9" borderId="9" xfId="0" applyNumberFormat="1" applyFont="1" applyFill="1" applyBorder="1" applyAlignment="1">
      <alignment horizontal="center" vertical="center"/>
    </xf>
    <xf numFmtId="4" fontId="50" fillId="2" borderId="1" xfId="0" applyNumberFormat="1" applyFont="1" applyFill="1" applyBorder="1" applyAlignment="1">
      <alignment horizontal="center" vertical="center"/>
    </xf>
    <xf numFmtId="4" fontId="50" fillId="2" borderId="0" xfId="0" applyNumberFormat="1" applyFont="1" applyFill="1" applyAlignment="1">
      <alignment horizontal="center"/>
    </xf>
    <xf numFmtId="4" fontId="50" fillId="2" borderId="0" xfId="0" applyNumberFormat="1" applyFont="1" applyFill="1"/>
    <xf numFmtId="4" fontId="71" fillId="2" borderId="0" xfId="0" applyNumberFormat="1" applyFont="1" applyFill="1"/>
    <xf numFmtId="4" fontId="68" fillId="0" borderId="0" xfId="0" applyNumberFormat="1" applyFont="1"/>
    <xf numFmtId="16" fontId="50" fillId="0" borderId="6" xfId="0" applyNumberFormat="1" applyFont="1" applyBorder="1" applyAlignment="1">
      <alignment horizontal="center" vertical="center"/>
    </xf>
    <xf numFmtId="4" fontId="50" fillId="2" borderId="5" xfId="0" applyNumberFormat="1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4" fontId="2" fillId="2" borderId="11" xfId="6" applyNumberFormat="1" applyFont="1" applyFill="1" applyBorder="1" applyAlignment="1" applyProtection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167" fontId="72" fillId="0" borderId="0" xfId="6" applyNumberFormat="1" applyFont="1" applyFill="1" applyBorder="1" applyAlignment="1" applyProtection="1">
      <alignment vertical="center"/>
      <protection locked="0"/>
    </xf>
    <xf numFmtId="0" fontId="51" fillId="0" borderId="27" xfId="0" applyFont="1" applyBorder="1" applyAlignment="1">
      <alignment horizontal="center"/>
    </xf>
    <xf numFmtId="0" fontId="50" fillId="2" borderId="32" xfId="0" applyFont="1" applyFill="1" applyBorder="1" applyAlignment="1">
      <alignment horizontal="center" vertical="center"/>
    </xf>
    <xf numFmtId="4" fontId="2" fillId="2" borderId="33" xfId="6" applyNumberFormat="1" applyFont="1" applyFill="1" applyBorder="1" applyAlignment="1" applyProtection="1">
      <alignment horizontal="center" vertical="center"/>
    </xf>
    <xf numFmtId="4" fontId="50" fillId="0" borderId="29" xfId="0" applyNumberFormat="1" applyFont="1" applyBorder="1" applyAlignment="1">
      <alignment horizontal="center" vertical="center" wrapText="1"/>
    </xf>
    <xf numFmtId="4" fontId="53" fillId="5" borderId="32" xfId="0" applyNumberFormat="1" applyFont="1" applyFill="1" applyBorder="1"/>
    <xf numFmtId="4" fontId="55" fillId="0" borderId="6" xfId="0" applyNumberFormat="1" applyFont="1" applyBorder="1" applyProtection="1">
      <protection locked="0"/>
    </xf>
    <xf numFmtId="4" fontId="55" fillId="0" borderId="5" xfId="0" applyNumberFormat="1" applyFont="1" applyBorder="1" applyProtection="1">
      <protection locked="0"/>
    </xf>
    <xf numFmtId="0" fontId="69" fillId="10" borderId="6" xfId="0" applyFont="1" applyFill="1" applyBorder="1" applyAlignment="1">
      <alignment horizontal="center" vertical="center" wrapText="1"/>
    </xf>
    <xf numFmtId="0" fontId="51" fillId="0" borderId="3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28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2" borderId="32" xfId="0" applyFont="1" applyFill="1" applyBorder="1" applyAlignment="1">
      <alignment horizontal="center" vertical="center" wrapText="1"/>
    </xf>
    <xf numFmtId="0" fontId="51" fillId="10" borderId="6" xfId="0" applyFont="1" applyFill="1" applyBorder="1" applyAlignment="1">
      <alignment horizontal="center" vertical="center" wrapText="1"/>
    </xf>
    <xf numFmtId="0" fontId="50" fillId="11" borderId="0" xfId="0" applyFont="1" applyFill="1" applyProtection="1">
      <protection locked="0"/>
    </xf>
    <xf numFmtId="4" fontId="50" fillId="2" borderId="1" xfId="0" applyNumberFormat="1" applyFont="1" applyFill="1" applyBorder="1" applyAlignment="1">
      <alignment horizontal="center" vertical="center" wrapText="1"/>
    </xf>
    <xf numFmtId="4" fontId="50" fillId="2" borderId="2" xfId="0" applyNumberFormat="1" applyFont="1" applyFill="1" applyBorder="1" applyAlignment="1">
      <alignment horizontal="center" vertical="center" wrapText="1"/>
    </xf>
    <xf numFmtId="167" fontId="73" fillId="2" borderId="9" xfId="0" applyNumberFormat="1" applyFont="1" applyFill="1" applyBorder="1" applyAlignment="1">
      <alignment horizontal="center" vertical="center"/>
    </xf>
    <xf numFmtId="4" fontId="50" fillId="9" borderId="31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2" borderId="0" xfId="0" applyFont="1" applyFill="1" applyBorder="1" applyAlignment="1">
      <alignment horizontal="center" vertical="center" wrapText="1"/>
    </xf>
    <xf numFmtId="4" fontId="51" fillId="0" borderId="6" xfId="0" applyNumberFormat="1" applyFont="1" applyBorder="1" applyAlignment="1">
      <alignment horizontal="center" vertical="center" wrapText="1"/>
    </xf>
    <xf numFmtId="4" fontId="55" fillId="12" borderId="8" xfId="0" applyNumberFormat="1" applyFont="1" applyFill="1" applyBorder="1" applyAlignment="1">
      <alignment horizontal="center" vertical="center" wrapText="1"/>
    </xf>
    <xf numFmtId="4" fontId="55" fillId="13" borderId="9" xfId="0" applyNumberFormat="1" applyFont="1" applyFill="1" applyBorder="1" applyAlignment="1">
      <alignment horizontal="center" vertical="center" wrapText="1"/>
    </xf>
    <xf numFmtId="4" fontId="50" fillId="11" borderId="6" xfId="0" applyNumberFormat="1" applyFont="1" applyFill="1" applyBorder="1" applyAlignment="1">
      <alignment horizontal="center" vertical="center" wrapText="1"/>
    </xf>
    <xf numFmtId="4" fontId="50" fillId="9" borderId="35" xfId="0" applyNumberFormat="1" applyFont="1" applyFill="1" applyBorder="1" applyAlignment="1">
      <alignment horizontal="center" vertical="center"/>
    </xf>
    <xf numFmtId="4" fontId="50" fillId="9" borderId="36" xfId="0" applyNumberFormat="1" applyFont="1" applyFill="1" applyBorder="1" applyAlignment="1">
      <alignment horizontal="center"/>
    </xf>
    <xf numFmtId="4" fontId="50" fillId="9" borderId="22" xfId="0" applyNumberFormat="1" applyFont="1" applyFill="1" applyBorder="1" applyAlignment="1">
      <alignment horizontal="center" vertical="center"/>
    </xf>
    <xf numFmtId="4" fontId="50" fillId="9" borderId="36" xfId="0" applyNumberFormat="1" applyFont="1" applyFill="1" applyBorder="1" applyAlignment="1">
      <alignment horizontal="center" vertical="center"/>
    </xf>
    <xf numFmtId="4" fontId="50" fillId="9" borderId="1" xfId="0" applyNumberFormat="1" applyFont="1" applyFill="1" applyBorder="1" applyAlignment="1">
      <alignment horizontal="center" vertical="center"/>
    </xf>
    <xf numFmtId="4" fontId="50" fillId="2" borderId="1" xfId="0" applyNumberFormat="1" applyFont="1" applyFill="1" applyBorder="1" applyAlignment="1">
      <alignment horizontal="center"/>
    </xf>
    <xf numFmtId="4" fontId="50" fillId="9" borderId="7" xfId="0" applyNumberFormat="1" applyFont="1" applyFill="1" applyBorder="1" applyAlignment="1">
      <alignment horizontal="center" vertical="center"/>
    </xf>
    <xf numFmtId="4" fontId="50" fillId="2" borderId="2" xfId="0" applyNumberFormat="1" applyFont="1" applyFill="1" applyBorder="1" applyAlignment="1">
      <alignment horizontal="center" vertical="center"/>
    </xf>
    <xf numFmtId="4" fontId="50" fillId="9" borderId="7" xfId="0" applyNumberFormat="1" applyFont="1" applyFill="1" applyBorder="1" applyAlignment="1">
      <alignment horizontal="center"/>
    </xf>
    <xf numFmtId="4" fontId="50" fillId="2" borderId="3" xfId="0" applyNumberFormat="1" applyFont="1" applyFill="1" applyBorder="1" applyAlignment="1">
      <alignment horizontal="center" vertical="center"/>
    </xf>
    <xf numFmtId="4" fontId="50" fillId="2" borderId="8" xfId="0" applyNumberFormat="1" applyFont="1" applyFill="1" applyBorder="1" applyAlignment="1">
      <alignment horizontal="center" vertical="center" wrapText="1"/>
    </xf>
    <xf numFmtId="4" fontId="50" fillId="2" borderId="9" xfId="0" applyNumberFormat="1" applyFont="1" applyFill="1" applyBorder="1" applyAlignment="1">
      <alignment horizontal="center" vertical="center" wrapText="1"/>
    </xf>
    <xf numFmtId="4" fontId="2" fillId="2" borderId="9" xfId="6" applyNumberFormat="1" applyFont="1" applyFill="1" applyBorder="1" applyAlignment="1" applyProtection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166" fontId="6" fillId="2" borderId="0" xfId="6" applyNumberFormat="1" applyFont="1" applyFill="1" applyBorder="1" applyAlignment="1">
      <alignment horizontal="center" vertical="center"/>
    </xf>
    <xf numFmtId="166" fontId="8" fillId="2" borderId="0" xfId="6" quotePrefix="1" applyNumberFormat="1" applyFont="1" applyFill="1" applyBorder="1" applyAlignment="1" applyProtection="1">
      <alignment horizontal="center" vertical="center"/>
      <protection locked="0"/>
    </xf>
    <xf numFmtId="3" fontId="55" fillId="2" borderId="0" xfId="0" applyNumberFormat="1" applyFont="1" applyFill="1" applyBorder="1" applyAlignment="1">
      <alignment horizontal="center" vertical="center" wrapText="1"/>
    </xf>
    <xf numFmtId="164" fontId="59" fillId="2" borderId="0" xfId="6" quotePrefix="1" applyNumberFormat="1" applyFont="1" applyFill="1" applyBorder="1" applyAlignment="1">
      <alignment horizontal="right" vertical="center" wrapText="1" indent="2"/>
    </xf>
    <xf numFmtId="4" fontId="55" fillId="2" borderId="0" xfId="0" applyNumberFormat="1" applyFont="1" applyFill="1" applyBorder="1" applyAlignment="1">
      <alignment vertical="center" wrapText="1"/>
    </xf>
    <xf numFmtId="4" fontId="5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6" applyFont="1" applyFill="1" applyBorder="1" applyAlignment="1">
      <alignment horizontal="center" vertical="center"/>
    </xf>
    <xf numFmtId="166" fontId="8" fillId="0" borderId="8" xfId="6" quotePrefix="1" applyNumberFormat="1" applyFont="1" applyFill="1" applyBorder="1" applyAlignment="1" applyProtection="1">
      <alignment horizontal="center" vertical="center"/>
      <protection locked="0"/>
    </xf>
    <xf numFmtId="166" fontId="8" fillId="0" borderId="9" xfId="6" quotePrefix="1" applyNumberFormat="1" applyFont="1" applyFill="1" applyBorder="1" applyAlignment="1" applyProtection="1">
      <alignment horizontal="center" vertical="center"/>
      <protection locked="0"/>
    </xf>
    <xf numFmtId="0" fontId="60" fillId="2" borderId="0" xfId="6" applyFont="1" applyFill="1" applyBorder="1" applyAlignment="1">
      <alignment vertical="center"/>
    </xf>
    <xf numFmtId="0" fontId="2" fillId="2" borderId="1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164" fontId="2" fillId="2" borderId="1" xfId="6" applyNumberFormat="1" applyFont="1" applyFill="1" applyBorder="1" applyAlignment="1">
      <alignment horizontal="right" vertical="center" wrapText="1" indent="2"/>
    </xf>
    <xf numFmtId="164" fontId="59" fillId="2" borderId="1" xfId="6" quotePrefix="1" applyNumberFormat="1" applyFont="1" applyFill="1" applyBorder="1" applyAlignment="1">
      <alignment horizontal="right" vertical="center" wrapText="1" indent="2"/>
    </xf>
    <xf numFmtId="164" fontId="59" fillId="2" borderId="7" xfId="6" quotePrefix="1" applyNumberFormat="1" applyFont="1" applyFill="1" applyBorder="1" applyAlignment="1">
      <alignment horizontal="right" vertical="center" wrapText="1" indent="2"/>
    </xf>
    <xf numFmtId="0" fontId="10" fillId="2" borderId="3" xfId="6" applyFont="1" applyFill="1" applyBorder="1" applyAlignment="1">
      <alignment horizontal="center" vertical="center"/>
    </xf>
    <xf numFmtId="164" fontId="2" fillId="2" borderId="8" xfId="6" applyNumberFormat="1" applyFont="1" applyFill="1" applyBorder="1" applyAlignment="1">
      <alignment horizontal="right" vertical="center" wrapText="1" indent="2"/>
    </xf>
    <xf numFmtId="164" fontId="59" fillId="2" borderId="8" xfId="6" quotePrefix="1" applyNumberFormat="1" applyFont="1" applyFill="1" applyBorder="1" applyAlignment="1">
      <alignment horizontal="right" vertical="center" wrapText="1" indent="2"/>
    </xf>
    <xf numFmtId="164" fontId="59" fillId="2" borderId="9" xfId="6" quotePrefix="1" applyNumberFormat="1" applyFont="1" applyFill="1" applyBorder="1" applyAlignment="1">
      <alignment horizontal="right" vertical="center" wrapText="1" indent="2"/>
    </xf>
    <xf numFmtId="4" fontId="55" fillId="0" borderId="17" xfId="0" applyNumberFormat="1" applyFont="1" applyBorder="1" applyAlignment="1">
      <alignment horizontal="center" vertical="center"/>
    </xf>
    <xf numFmtId="4" fontId="55" fillId="0" borderId="31" xfId="0" applyNumberFormat="1" applyFont="1" applyBorder="1" applyAlignment="1">
      <alignment horizontal="center" vertical="center"/>
    </xf>
    <xf numFmtId="4" fontId="50" fillId="14" borderId="6" xfId="0" applyNumberFormat="1" applyFont="1" applyFill="1" applyBorder="1" applyAlignment="1">
      <alignment horizontal="center" vertical="center" wrapText="1"/>
    </xf>
    <xf numFmtId="3" fontId="50" fillId="14" borderId="5" xfId="0" applyNumberFormat="1" applyFont="1" applyFill="1" applyBorder="1" applyAlignment="1">
      <alignment horizontal="center" vertical="center" wrapText="1"/>
    </xf>
    <xf numFmtId="4" fontId="50" fillId="14" borderId="34" xfId="0" applyNumberFormat="1" applyFont="1" applyFill="1" applyBorder="1" applyAlignment="1">
      <alignment horizontal="center" vertical="center"/>
    </xf>
    <xf numFmtId="4" fontId="50" fillId="14" borderId="30" xfId="0" applyNumberFormat="1" applyFont="1" applyFill="1" applyBorder="1" applyAlignment="1">
      <alignment horizontal="center" vertical="center"/>
    </xf>
    <xf numFmtId="4" fontId="55" fillId="14" borderId="8" xfId="0" applyNumberFormat="1" applyFont="1" applyFill="1" applyBorder="1" applyAlignment="1">
      <alignment horizontal="center" vertical="center"/>
    </xf>
    <xf numFmtId="4" fontId="55" fillId="14" borderId="9" xfId="0" applyNumberFormat="1" applyFont="1" applyFill="1" applyBorder="1" applyAlignment="1">
      <alignment horizontal="center" vertical="center"/>
    </xf>
    <xf numFmtId="4" fontId="50" fillId="14" borderId="0" xfId="0" applyNumberFormat="1" applyFont="1" applyFill="1" applyBorder="1" applyAlignment="1">
      <alignment horizontal="center" vertical="center"/>
    </xf>
    <xf numFmtId="4" fontId="50" fillId="14" borderId="37" xfId="0" applyNumberFormat="1" applyFont="1" applyFill="1" applyBorder="1" applyAlignment="1">
      <alignment horizontal="center" vertical="center"/>
    </xf>
    <xf numFmtId="4" fontId="2" fillId="14" borderId="38" xfId="6" applyNumberFormat="1" applyFont="1" applyFill="1" applyBorder="1" applyAlignment="1" applyProtection="1">
      <alignment horizontal="center" vertical="center"/>
    </xf>
    <xf numFmtId="4" fontId="55" fillId="14" borderId="0" xfId="0" applyNumberFormat="1" applyFont="1" applyFill="1" applyBorder="1" applyAlignment="1">
      <alignment horizontal="center" vertical="center"/>
    </xf>
    <xf numFmtId="4" fontId="55" fillId="14" borderId="39" xfId="0" applyNumberFormat="1" applyFont="1" applyFill="1" applyBorder="1" applyAlignment="1">
      <alignment horizontal="center" vertical="center"/>
    </xf>
    <xf numFmtId="4" fontId="50" fillId="14" borderId="39" xfId="0" applyNumberFormat="1" applyFont="1" applyFill="1" applyBorder="1" applyAlignment="1">
      <alignment horizontal="center" vertical="center"/>
    </xf>
    <xf numFmtId="4" fontId="2" fillId="14" borderId="40" xfId="6" applyNumberFormat="1" applyFont="1" applyFill="1" applyBorder="1" applyAlignment="1" applyProtection="1">
      <alignment horizontal="center" vertical="center"/>
    </xf>
    <xf numFmtId="4" fontId="2" fillId="2" borderId="15" xfId="6" applyNumberFormat="1" applyFont="1" applyFill="1" applyBorder="1" applyAlignment="1" applyProtection="1">
      <alignment horizontal="center" vertical="center"/>
      <protection locked="0"/>
    </xf>
    <xf numFmtId="0" fontId="2" fillId="2" borderId="9" xfId="6" applyFont="1" applyFill="1" applyBorder="1" applyAlignment="1">
      <alignment horizontal="center" vertical="center"/>
    </xf>
    <xf numFmtId="4" fontId="2" fillId="2" borderId="7" xfId="6" applyNumberFormat="1" applyFont="1" applyFill="1" applyBorder="1" applyAlignment="1" applyProtection="1">
      <alignment horizontal="center" vertical="center"/>
      <protection locked="0"/>
    </xf>
    <xf numFmtId="4" fontId="6" fillId="2" borderId="8" xfId="6" applyNumberFormat="1" applyFont="1" applyFill="1" applyBorder="1" applyAlignment="1" applyProtection="1">
      <alignment horizontal="center" vertical="center"/>
      <protection locked="0"/>
    </xf>
    <xf numFmtId="4" fontId="2" fillId="2" borderId="8" xfId="6" applyNumberFormat="1" applyFont="1" applyFill="1" applyBorder="1" applyAlignment="1" applyProtection="1">
      <alignment horizontal="center" vertical="center"/>
      <protection locked="0"/>
    </xf>
    <xf numFmtId="4" fontId="2" fillId="2" borderId="9" xfId="6" applyNumberFormat="1" applyFont="1" applyFill="1" applyBorder="1" applyAlignment="1" applyProtection="1">
      <alignment horizontal="center" vertical="center"/>
      <protection locked="0"/>
    </xf>
    <xf numFmtId="4" fontId="18" fillId="8" borderId="1" xfId="6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4" fontId="8" fillId="2" borderId="0" xfId="6" applyNumberFormat="1" applyFont="1" applyFill="1" applyBorder="1" applyAlignment="1" applyProtection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Border="1" applyAlignment="1">
      <alignment horizontal="center"/>
    </xf>
    <xf numFmtId="164" fontId="74" fillId="0" borderId="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2" borderId="11" xfId="0" applyFont="1" applyFill="1" applyBorder="1" applyAlignment="1">
      <alignment vertical="center" wrapText="1"/>
    </xf>
    <xf numFmtId="4" fontId="2" fillId="2" borderId="12" xfId="6" applyNumberFormat="1" applyFont="1" applyFill="1" applyBorder="1" applyAlignment="1" applyProtection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/>
    <xf numFmtId="0" fontId="55" fillId="0" borderId="1" xfId="0" applyFont="1" applyBorder="1" applyAlignment="1">
      <alignment horizontal="center"/>
    </xf>
    <xf numFmtId="0" fontId="50" fillId="0" borderId="1" xfId="0" applyFont="1" applyBorder="1"/>
    <xf numFmtId="1" fontId="53" fillId="6" borderId="1" xfId="0" applyNumberFormat="1" applyFont="1" applyFill="1" applyBorder="1"/>
    <xf numFmtId="0" fontId="53" fillId="0" borderId="1" xfId="0" applyFont="1" applyBorder="1" applyAlignment="1">
      <alignment wrapText="1"/>
    </xf>
    <xf numFmtId="0" fontId="75" fillId="0" borderId="1" xfId="0" applyFont="1" applyBorder="1" applyAlignment="1">
      <alignment horizontal="center" vertical="center" wrapText="1"/>
    </xf>
    <xf numFmtId="0" fontId="73" fillId="0" borderId="1" xfId="0" applyFont="1" applyBorder="1"/>
    <xf numFmtId="166" fontId="56" fillId="3" borderId="1" xfId="0" applyNumberFormat="1" applyFont="1" applyFill="1" applyBorder="1"/>
    <xf numFmtId="0" fontId="64" fillId="0" borderId="1" xfId="0" applyFont="1" applyBorder="1" applyAlignment="1">
      <alignment wrapText="1"/>
    </xf>
    <xf numFmtId="166" fontId="64" fillId="6" borderId="1" xfId="0" applyNumberFormat="1" applyFont="1" applyFill="1" applyBorder="1"/>
    <xf numFmtId="2" fontId="64" fillId="0" borderId="1" xfId="0" applyNumberFormat="1" applyFont="1" applyFill="1" applyBorder="1" applyProtection="1">
      <protection locked="0"/>
    </xf>
    <xf numFmtId="166" fontId="64" fillId="0" borderId="1" xfId="0" applyNumberFormat="1" applyFont="1" applyFill="1" applyBorder="1"/>
    <xf numFmtId="1" fontId="64" fillId="6" borderId="1" xfId="0" applyNumberFormat="1" applyFont="1" applyFill="1" applyBorder="1"/>
    <xf numFmtId="0" fontId="34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 applyProtection="1">
      <alignment vertical="center"/>
      <protection locked="0"/>
    </xf>
    <xf numFmtId="0" fontId="5" fillId="2" borderId="0" xfId="6" applyFont="1" applyFill="1" applyBorder="1" applyAlignment="1" applyProtection="1">
      <alignment vertical="center"/>
      <protection locked="0"/>
    </xf>
    <xf numFmtId="0" fontId="5" fillId="2" borderId="0" xfId="6" applyFont="1" applyFill="1" applyBorder="1" applyAlignment="1">
      <alignment vertical="center"/>
    </xf>
    <xf numFmtId="166" fontId="55" fillId="15" borderId="1" xfId="0" applyNumberFormat="1" applyFont="1" applyFill="1" applyBorder="1" applyProtection="1"/>
    <xf numFmtId="166" fontId="64" fillId="15" borderId="1" xfId="0" applyNumberFormat="1" applyFont="1" applyFill="1" applyBorder="1" applyProtection="1"/>
    <xf numFmtId="0" fontId="53" fillId="15" borderId="1" xfId="0" applyFont="1" applyFill="1" applyBorder="1" applyAlignment="1" applyProtection="1">
      <alignment wrapText="1"/>
    </xf>
    <xf numFmtId="166" fontId="53" fillId="15" borderId="1" xfId="0" applyNumberFormat="1" applyFont="1" applyFill="1" applyBorder="1" applyProtection="1"/>
    <xf numFmtId="2" fontId="53" fillId="15" borderId="1" xfId="0" applyNumberFormat="1" applyFont="1" applyFill="1" applyBorder="1" applyProtection="1"/>
    <xf numFmtId="1" fontId="53" fillId="15" borderId="1" xfId="0" applyNumberFormat="1" applyFont="1" applyFill="1" applyBorder="1" applyProtection="1"/>
    <xf numFmtId="0" fontId="51" fillId="0" borderId="4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2" borderId="20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6" fillId="2" borderId="0" xfId="6" applyFont="1" applyFill="1" applyBorder="1" applyAlignment="1">
      <alignment horizontal="left" vertical="center"/>
    </xf>
    <xf numFmtId="0" fontId="55" fillId="0" borderId="1" xfId="0" applyFont="1" applyBorder="1" applyAlignment="1">
      <alignment horizontal="center"/>
    </xf>
    <xf numFmtId="4" fontId="50" fillId="0" borderId="15" xfId="0" applyNumberFormat="1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right" vertical="center"/>
    </xf>
    <xf numFmtId="0" fontId="55" fillId="0" borderId="1" xfId="0" applyFont="1" applyBorder="1" applyAlignment="1">
      <alignment horizontal="center"/>
    </xf>
    <xf numFmtId="0" fontId="50" fillId="2" borderId="0" xfId="0" applyNumberFormat="1" applyFont="1" applyFill="1" applyBorder="1" applyAlignment="1">
      <alignment horizontal="center" vertical="center"/>
    </xf>
    <xf numFmtId="167" fontId="50" fillId="0" borderId="0" xfId="0" applyNumberFormat="1" applyFont="1"/>
    <xf numFmtId="164" fontId="50" fillId="0" borderId="0" xfId="0" applyNumberFormat="1" applyFont="1" applyBorder="1" applyAlignment="1">
      <alignment horizontal="center" vertical="center"/>
    </xf>
    <xf numFmtId="164" fontId="50" fillId="0" borderId="9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 wrapText="1"/>
    </xf>
    <xf numFmtId="4" fontId="2" fillId="2" borderId="21" xfId="6" applyNumberFormat="1" applyFont="1" applyFill="1" applyBorder="1" applyAlignment="1" applyProtection="1">
      <alignment horizontal="center" vertical="center"/>
    </xf>
    <xf numFmtId="165" fontId="5" fillId="2" borderId="42" xfId="6" applyNumberFormat="1" applyFont="1" applyFill="1" applyBorder="1" applyAlignment="1" applyProtection="1">
      <alignment horizontal="right" vertical="center"/>
    </xf>
    <xf numFmtId="165" fontId="5" fillId="2" borderId="43" xfId="6" applyNumberFormat="1" applyFont="1" applyFill="1" applyBorder="1" applyAlignment="1" applyProtection="1">
      <alignment horizontal="right" vertical="center"/>
    </xf>
    <xf numFmtId="166" fontId="2" fillId="2" borderId="1" xfId="6" applyNumberFormat="1" applyFont="1" applyFill="1" applyBorder="1" applyAlignment="1" applyProtection="1">
      <alignment horizontal="center" vertical="center"/>
      <protection locked="0"/>
    </xf>
    <xf numFmtId="0" fontId="16" fillId="2" borderId="2" xfId="6" applyFont="1" applyFill="1" applyBorder="1" applyAlignment="1">
      <alignment horizontal="center" vertical="center"/>
    </xf>
    <xf numFmtId="0" fontId="16" fillId="2" borderId="1" xfId="6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 wrapText="1"/>
    </xf>
    <xf numFmtId="0" fontId="16" fillId="2" borderId="7" xfId="6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/>
    </xf>
    <xf numFmtId="4" fontId="10" fillId="2" borderId="0" xfId="6" applyNumberFormat="1" applyFont="1" applyFill="1" applyBorder="1" applyAlignment="1" applyProtection="1">
      <alignment horizontal="center" vertical="center" wrapText="1"/>
    </xf>
    <xf numFmtId="4" fontId="51" fillId="2" borderId="0" xfId="0" applyNumberFormat="1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4" fontId="2" fillId="2" borderId="8" xfId="6" applyNumberFormat="1" applyFont="1" applyFill="1" applyBorder="1" applyAlignment="1" applyProtection="1">
      <alignment horizontal="center" vertical="center"/>
    </xf>
    <xf numFmtId="0" fontId="50" fillId="0" borderId="0" xfId="0" applyFont="1" applyBorder="1" applyAlignment="1">
      <alignment horizontal="center" vertical="center"/>
    </xf>
    <xf numFmtId="4" fontId="55" fillId="2" borderId="0" xfId="0" applyNumberFormat="1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4" fontId="2" fillId="2" borderId="8" xfId="6" applyNumberFormat="1" applyFont="1" applyFill="1" applyBorder="1" applyAlignment="1" applyProtection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2" borderId="32" xfId="0" applyFont="1" applyFill="1" applyBorder="1" applyAlignment="1">
      <alignment horizontal="center" vertical="center"/>
    </xf>
    <xf numFmtId="164" fontId="50" fillId="2" borderId="8" xfId="0" applyNumberFormat="1" applyFont="1" applyFill="1" applyBorder="1" applyAlignment="1">
      <alignment horizontal="center"/>
    </xf>
    <xf numFmtId="0" fontId="23" fillId="13" borderId="11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4" fontId="55" fillId="2" borderId="44" xfId="0" applyNumberFormat="1" applyFont="1" applyFill="1" applyBorder="1" applyAlignment="1">
      <alignment horizontal="center" vertical="center"/>
    </xf>
    <xf numFmtId="4" fontId="55" fillId="2" borderId="17" xfId="0" applyNumberFormat="1" applyFont="1" applyFill="1" applyBorder="1" applyAlignment="1">
      <alignment horizontal="center" vertical="center"/>
    </xf>
    <xf numFmtId="0" fontId="23" fillId="10" borderId="45" xfId="0" applyFont="1" applyFill="1" applyBorder="1" applyAlignment="1" applyProtection="1">
      <alignment horizontal="center" vertical="center" wrapText="1"/>
      <protection locked="0"/>
    </xf>
    <xf numFmtId="0" fontId="51" fillId="0" borderId="1" xfId="0" applyFont="1" applyBorder="1" applyAlignment="1" applyProtection="1">
      <alignment horizontal="center" vertical="center" wrapText="1"/>
    </xf>
    <xf numFmtId="0" fontId="55" fillId="0" borderId="1" xfId="0" applyFont="1" applyBorder="1" applyAlignment="1" applyProtection="1">
      <alignment horizontal="center"/>
    </xf>
    <xf numFmtId="0" fontId="55" fillId="2" borderId="4" xfId="0" applyFont="1" applyFill="1" applyBorder="1" applyAlignment="1">
      <alignment horizontal="left" vertical="center" wrapText="1"/>
    </xf>
    <xf numFmtId="0" fontId="56" fillId="0" borderId="16" xfId="0" applyFont="1" applyBorder="1" applyAlignment="1">
      <alignment vertical="center" wrapText="1"/>
    </xf>
    <xf numFmtId="164" fontId="55" fillId="2" borderId="31" xfId="0" applyNumberFormat="1" applyFont="1" applyFill="1" applyBorder="1" applyAlignment="1">
      <alignment horizontal="center" vertical="center"/>
    </xf>
    <xf numFmtId="164" fontId="74" fillId="2" borderId="0" xfId="0" applyNumberFormat="1" applyFont="1" applyFill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4" fontId="77" fillId="0" borderId="6" xfId="0" applyNumberFormat="1" applyFont="1" applyBorder="1" applyAlignment="1">
      <alignment horizontal="center" vertical="center" wrapText="1"/>
    </xf>
    <xf numFmtId="4" fontId="77" fillId="2" borderId="5" xfId="0" applyNumberFormat="1" applyFont="1" applyFill="1" applyBorder="1" applyAlignment="1">
      <alignment horizontal="center" vertical="center" wrapText="1"/>
    </xf>
    <xf numFmtId="4" fontId="55" fillId="13" borderId="8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0" fontId="55" fillId="0" borderId="32" xfId="0" applyFont="1" applyBorder="1" applyAlignment="1">
      <alignment vertical="center" wrapText="1"/>
    </xf>
    <xf numFmtId="4" fontId="2" fillId="2" borderId="29" xfId="6" applyNumberFormat="1" applyFont="1" applyFill="1" applyBorder="1" applyAlignment="1" applyProtection="1">
      <alignment horizontal="center" vertical="center" wrapText="1"/>
    </xf>
    <xf numFmtId="166" fontId="50" fillId="0" borderId="17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4" fontId="50" fillId="0" borderId="17" xfId="0" applyNumberFormat="1" applyFont="1" applyBorder="1" applyAlignment="1">
      <alignment horizontal="center" vertical="center"/>
    </xf>
    <xf numFmtId="4" fontId="70" fillId="9" borderId="31" xfId="0" applyNumberFormat="1" applyFont="1" applyFill="1" applyBorder="1" applyAlignment="1">
      <alignment horizontal="center" vertical="center"/>
    </xf>
    <xf numFmtId="164" fontId="50" fillId="9" borderId="9" xfId="0" applyNumberFormat="1" applyFont="1" applyFill="1" applyBorder="1" applyAlignment="1">
      <alignment horizontal="center"/>
    </xf>
    <xf numFmtId="166" fontId="27" fillId="2" borderId="8" xfId="0" applyNumberFormat="1" applyFont="1" applyFill="1" applyBorder="1" applyAlignment="1">
      <alignment horizontal="center" vertical="center"/>
    </xf>
    <xf numFmtId="4" fontId="2" fillId="2" borderId="8" xfId="6" applyNumberFormat="1" applyFont="1" applyFill="1" applyBorder="1" applyAlignment="1" applyProtection="1">
      <alignment horizontal="center" vertical="center"/>
    </xf>
    <xf numFmtId="4" fontId="2" fillId="2" borderId="8" xfId="6" applyNumberFormat="1" applyFont="1" applyFill="1" applyBorder="1" applyAlignment="1" applyProtection="1">
      <alignment horizontal="center" vertical="center"/>
    </xf>
    <xf numFmtId="4" fontId="55" fillId="2" borderId="43" xfId="0" applyNumberFormat="1" applyFont="1" applyFill="1" applyBorder="1" applyAlignment="1">
      <alignment horizontal="center" vertical="center"/>
    </xf>
    <xf numFmtId="4" fontId="50" fillId="9" borderId="6" xfId="0" applyNumberFormat="1" applyFont="1" applyFill="1" applyBorder="1" applyAlignment="1">
      <alignment horizontal="center" vertical="center" wrapText="1"/>
    </xf>
    <xf numFmtId="4" fontId="55" fillId="9" borderId="17" xfId="0" applyNumberFormat="1" applyFont="1" applyFill="1" applyBorder="1" applyAlignment="1">
      <alignment horizontal="center" vertical="center"/>
    </xf>
    <xf numFmtId="164" fontId="50" fillId="9" borderId="8" xfId="0" applyNumberFormat="1" applyFont="1" applyFill="1" applyBorder="1" applyAlignment="1">
      <alignment horizontal="center" vertical="center"/>
    </xf>
    <xf numFmtId="0" fontId="50" fillId="9" borderId="9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3" fillId="0" borderId="0" xfId="0" applyFont="1" applyBorder="1" applyAlignment="1">
      <alignment horizontal="right"/>
    </xf>
    <xf numFmtId="0" fontId="78" fillId="0" borderId="0" xfId="0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2" fillId="0" borderId="0" xfId="0" applyFont="1" applyProtection="1"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Protection="1">
      <protection hidden="1"/>
    </xf>
    <xf numFmtId="4" fontId="60" fillId="2" borderId="0" xfId="0" applyNumberFormat="1" applyFont="1" applyFill="1" applyBorder="1" applyAlignment="1" applyProtection="1">
      <alignment horizontal="center" vertical="center"/>
      <protection hidden="1"/>
    </xf>
    <xf numFmtId="4" fontId="60" fillId="2" borderId="0" xfId="6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wrapText="1"/>
      <protection hidden="1"/>
    </xf>
    <xf numFmtId="0" fontId="52" fillId="2" borderId="0" xfId="0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1" fillId="0" borderId="6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4" fontId="2" fillId="2" borderId="32" xfId="6" applyNumberFormat="1" applyFont="1" applyFill="1" applyBorder="1" applyAlignment="1" applyProtection="1">
      <alignment horizontal="center" vertical="center"/>
    </xf>
    <xf numFmtId="4" fontId="2" fillId="2" borderId="20" xfId="6" applyNumberFormat="1" applyFont="1" applyFill="1" applyBorder="1" applyAlignment="1" applyProtection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5" fillId="0" borderId="6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55" fillId="2" borderId="6" xfId="0" applyFont="1" applyFill="1" applyBorder="1" applyAlignment="1">
      <alignment vertical="center" wrapText="1"/>
    </xf>
    <xf numFmtId="0" fontId="55" fillId="2" borderId="8" xfId="0" applyFont="1" applyFill="1" applyBorder="1" applyAlignment="1">
      <alignment vertical="center" wrapText="1"/>
    </xf>
    <xf numFmtId="0" fontId="50" fillId="2" borderId="6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4" fontId="2" fillId="2" borderId="6" xfId="6" applyNumberFormat="1" applyFont="1" applyFill="1" applyBorder="1" applyAlignment="1" applyProtection="1">
      <alignment horizontal="center" vertical="center"/>
    </xf>
    <xf numFmtId="4" fontId="2" fillId="2" borderId="8" xfId="6" applyNumberFormat="1" applyFont="1" applyFill="1" applyBorder="1" applyAlignment="1" applyProtection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50" fillId="2" borderId="17" xfId="0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/>
    </xf>
    <xf numFmtId="0" fontId="10" fillId="11" borderId="50" xfId="0" applyFont="1" applyFill="1" applyBorder="1" applyAlignment="1">
      <alignment horizontal="left" vertical="center" wrapText="1"/>
    </xf>
    <xf numFmtId="0" fontId="10" fillId="11" borderId="43" xfId="0" applyFont="1" applyFill="1" applyBorder="1" applyAlignment="1">
      <alignment horizontal="left" vertical="center" wrapText="1"/>
    </xf>
    <xf numFmtId="4" fontId="2" fillId="2" borderId="17" xfId="6" applyNumberFormat="1" applyFont="1" applyFill="1" applyBorder="1" applyAlignment="1" applyProtection="1">
      <alignment horizontal="center" vertical="center"/>
    </xf>
    <xf numFmtId="0" fontId="51" fillId="2" borderId="6" xfId="0" applyFont="1" applyFill="1" applyBorder="1" applyAlignment="1">
      <alignment horizontal="left" vertical="center" wrapText="1"/>
    </xf>
    <xf numFmtId="0" fontId="51" fillId="2" borderId="8" xfId="0" applyFont="1" applyFill="1" applyBorder="1" applyAlignment="1">
      <alignment horizontal="left" vertical="center" wrapText="1"/>
    </xf>
    <xf numFmtId="0" fontId="50" fillId="2" borderId="15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 wrapText="1"/>
    </xf>
    <xf numFmtId="4" fontId="81" fillId="2" borderId="0" xfId="0" applyNumberFormat="1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10" fillId="11" borderId="44" xfId="0" applyFont="1" applyFill="1" applyBorder="1" applyAlignment="1">
      <alignment horizontal="left" vertical="center" wrapText="1"/>
    </xf>
    <xf numFmtId="0" fontId="51" fillId="0" borderId="54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55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70" fillId="2" borderId="6" xfId="0" applyFont="1" applyFill="1" applyBorder="1" applyAlignment="1">
      <alignment horizontal="center" vertical="center"/>
    </xf>
    <xf numFmtId="0" fontId="70" fillId="2" borderId="17" xfId="0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/>
    </xf>
    <xf numFmtId="0" fontId="51" fillId="11" borderId="6" xfId="0" applyFont="1" applyFill="1" applyBorder="1" applyAlignment="1">
      <alignment horizontal="left" vertical="center" wrapText="1"/>
    </xf>
    <xf numFmtId="0" fontId="51" fillId="11" borderId="8" xfId="0" applyFont="1" applyFill="1" applyBorder="1" applyAlignment="1">
      <alignment horizontal="left" vertical="center" wrapText="1"/>
    </xf>
    <xf numFmtId="4" fontId="2" fillId="2" borderId="23" xfId="6" applyNumberFormat="1" applyFont="1" applyFill="1" applyBorder="1" applyAlignment="1" applyProtection="1">
      <alignment horizontal="center" vertical="center"/>
    </xf>
    <xf numFmtId="1" fontId="27" fillId="2" borderId="39" xfId="0" applyNumberFormat="1" applyFont="1" applyFill="1" applyBorder="1" applyAlignment="1">
      <alignment horizontal="center" vertical="center"/>
    </xf>
    <xf numFmtId="1" fontId="82" fillId="2" borderId="0" xfId="0" applyNumberFormat="1" applyFont="1" applyFill="1" applyBorder="1" applyAlignment="1">
      <alignment horizontal="center" vertical="center" wrapText="1"/>
    </xf>
    <xf numFmtId="0" fontId="50" fillId="14" borderId="6" xfId="0" applyFont="1" applyFill="1" applyBorder="1" applyAlignment="1">
      <alignment horizontal="center" vertical="center"/>
    </xf>
    <xf numFmtId="0" fontId="50" fillId="14" borderId="17" xfId="0" applyFont="1" applyFill="1" applyBorder="1" applyAlignment="1">
      <alignment horizontal="center" vertical="center"/>
    </xf>
    <xf numFmtId="0" fontId="50" fillId="14" borderId="6" xfId="0" applyFont="1" applyFill="1" applyBorder="1" applyAlignment="1">
      <alignment horizontal="center" vertical="center" wrapText="1"/>
    </xf>
    <xf numFmtId="0" fontId="50" fillId="14" borderId="17" xfId="0" applyFont="1" applyFill="1" applyBorder="1" applyAlignment="1">
      <alignment horizontal="center" vertical="center" wrapText="1"/>
    </xf>
    <xf numFmtId="4" fontId="2" fillId="2" borderId="33" xfId="6" applyNumberFormat="1" applyFont="1" applyFill="1" applyBorder="1" applyAlignment="1" applyProtection="1">
      <alignment horizontal="center" vertical="center"/>
    </xf>
    <xf numFmtId="4" fontId="2" fillId="2" borderId="26" xfId="6" applyNumberFormat="1" applyFont="1" applyFill="1" applyBorder="1" applyAlignment="1" applyProtection="1">
      <alignment horizontal="center" vertical="center"/>
    </xf>
    <xf numFmtId="0" fontId="55" fillId="2" borderId="23" xfId="0" applyFont="1" applyFill="1" applyBorder="1" applyAlignment="1">
      <alignment horizontal="left" vertical="center" wrapText="1"/>
    </xf>
    <xf numFmtId="0" fontId="55" fillId="2" borderId="20" xfId="0" applyFont="1" applyFill="1" applyBorder="1" applyAlignment="1">
      <alignment horizontal="left" vertical="center" wrapText="1"/>
    </xf>
    <xf numFmtId="0" fontId="51" fillId="2" borderId="53" xfId="0" applyFont="1" applyFill="1" applyBorder="1" applyAlignment="1">
      <alignment horizontal="left" vertical="center" wrapText="1"/>
    </xf>
    <xf numFmtId="0" fontId="51" fillId="2" borderId="44" xfId="0" applyFont="1" applyFill="1" applyBorder="1" applyAlignment="1">
      <alignment horizontal="left" vertical="center" wrapText="1"/>
    </xf>
    <xf numFmtId="0" fontId="51" fillId="0" borderId="50" xfId="0" applyFont="1" applyBorder="1" applyAlignment="1">
      <alignment horizontal="left" vertical="center" wrapText="1"/>
    </xf>
    <xf numFmtId="0" fontId="51" fillId="0" borderId="43" xfId="0" applyFont="1" applyBorder="1" applyAlignment="1">
      <alignment horizontal="left" vertical="center" wrapText="1"/>
    </xf>
    <xf numFmtId="0" fontId="51" fillId="14" borderId="4" xfId="0" applyFont="1" applyFill="1" applyBorder="1" applyAlignment="1">
      <alignment horizontal="center" vertical="center"/>
    </xf>
    <xf numFmtId="0" fontId="51" fillId="14" borderId="3" xfId="0" applyFont="1" applyFill="1" applyBorder="1" applyAlignment="1">
      <alignment horizontal="center" vertical="center"/>
    </xf>
    <xf numFmtId="0" fontId="51" fillId="14" borderId="6" xfId="0" applyFont="1" applyFill="1" applyBorder="1" applyAlignment="1">
      <alignment horizontal="left" vertical="center" wrapText="1"/>
    </xf>
    <xf numFmtId="0" fontId="51" fillId="14" borderId="8" xfId="0" applyFont="1" applyFill="1" applyBorder="1" applyAlignment="1">
      <alignment horizontal="left" vertical="center" wrapText="1"/>
    </xf>
    <xf numFmtId="0" fontId="51" fillId="0" borderId="53" xfId="0" applyFont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0" fontId="50" fillId="14" borderId="8" xfId="0" applyFont="1" applyFill="1" applyBorder="1" applyAlignment="1">
      <alignment horizontal="center" vertical="center"/>
    </xf>
    <xf numFmtId="0" fontId="50" fillId="14" borderId="8" xfId="0" applyFont="1" applyFill="1" applyBorder="1" applyAlignment="1">
      <alignment horizontal="center" vertical="center" wrapText="1"/>
    </xf>
    <xf numFmtId="4" fontId="2" fillId="14" borderId="32" xfId="6" applyNumberFormat="1" applyFont="1" applyFill="1" applyBorder="1" applyAlignment="1" applyProtection="1">
      <alignment horizontal="center" vertical="center"/>
    </xf>
    <xf numFmtId="4" fontId="2" fillId="14" borderId="20" xfId="6" applyNumberFormat="1" applyFont="1" applyFill="1" applyBorder="1" applyAlignment="1" applyProtection="1">
      <alignment horizontal="center" vertical="center"/>
    </xf>
    <xf numFmtId="0" fontId="50" fillId="0" borderId="8" xfId="0" applyFont="1" applyBorder="1" applyAlignment="1">
      <alignment horizontal="center" vertical="center" wrapText="1"/>
    </xf>
    <xf numFmtId="4" fontId="2" fillId="2" borderId="15" xfId="6" applyNumberFormat="1" applyFont="1" applyFill="1" applyBorder="1" applyAlignment="1" applyProtection="1">
      <alignment horizontal="center" vertical="center" wrapText="1"/>
    </xf>
    <xf numFmtId="4" fontId="2" fillId="2" borderId="8" xfId="6" applyNumberFormat="1" applyFont="1" applyFill="1" applyBorder="1" applyAlignment="1" applyProtection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" fontId="2" fillId="2" borderId="15" xfId="6" applyNumberFormat="1" applyFont="1" applyFill="1" applyBorder="1" applyAlignment="1" applyProtection="1">
      <alignment horizontal="center" vertical="center"/>
    </xf>
    <xf numFmtId="0" fontId="55" fillId="0" borderId="2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51" fillId="0" borderId="34" xfId="0" applyNumberFormat="1" applyFont="1" applyBorder="1" applyAlignment="1">
      <alignment horizontal="center" vertical="center" wrapText="1"/>
    </xf>
    <xf numFmtId="0" fontId="51" fillId="0" borderId="59" xfId="0" applyNumberFormat="1" applyFont="1" applyBorder="1" applyAlignment="1">
      <alignment horizontal="center" vertical="center" wrapText="1"/>
    </xf>
    <xf numFmtId="0" fontId="51" fillId="0" borderId="45" xfId="0" applyNumberFormat="1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1" fillId="0" borderId="5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5" fillId="2" borderId="23" xfId="0" applyNumberFormat="1" applyFont="1" applyFill="1" applyBorder="1" applyAlignment="1">
      <alignment horizontal="center" vertical="center" wrapText="1"/>
    </xf>
    <xf numFmtId="0" fontId="55" fillId="2" borderId="2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" fontId="23" fillId="13" borderId="56" xfId="0" applyNumberFormat="1" applyFont="1" applyFill="1" applyBorder="1" applyAlignment="1">
      <alignment horizontal="center" vertical="center"/>
    </xf>
    <xf numFmtId="1" fontId="23" fillId="13" borderId="57" xfId="0" applyNumberFormat="1" applyFont="1" applyFill="1" applyBorder="1" applyAlignment="1">
      <alignment horizontal="center" vertical="center"/>
    </xf>
    <xf numFmtId="0" fontId="50" fillId="2" borderId="53" xfId="0" applyFont="1" applyFill="1" applyBorder="1" applyAlignment="1">
      <alignment horizontal="center" vertical="center" wrapText="1"/>
    </xf>
    <xf numFmtId="0" fontId="50" fillId="2" borderId="44" xfId="0" applyFont="1" applyFill="1" applyBorder="1" applyAlignment="1">
      <alignment horizontal="center" vertical="center" wrapText="1"/>
    </xf>
    <xf numFmtId="4" fontId="2" fillId="2" borderId="35" xfId="6" applyNumberFormat="1" applyFont="1" applyFill="1" applyBorder="1" applyAlignment="1" applyProtection="1">
      <alignment horizontal="center" vertical="center"/>
    </xf>
    <xf numFmtId="4" fontId="2" fillId="2" borderId="36" xfId="6" applyNumberFormat="1" applyFont="1" applyFill="1" applyBorder="1" applyAlignment="1" applyProtection="1">
      <alignment horizontal="center" vertical="center"/>
    </xf>
    <xf numFmtId="4" fontId="55" fillId="2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5" fillId="0" borderId="6" xfId="0" applyFont="1" applyBorder="1" applyAlignment="1">
      <alignment vertical="center" wrapText="1"/>
    </xf>
    <xf numFmtId="0" fontId="55" fillId="0" borderId="8" xfId="0" applyFont="1" applyBorder="1" applyAlignment="1">
      <alignment vertical="center" wrapText="1"/>
    </xf>
    <xf numFmtId="0" fontId="51" fillId="2" borderId="51" xfId="0" applyFont="1" applyFill="1" applyBorder="1" applyAlignment="1">
      <alignment horizontal="center" vertical="center"/>
    </xf>
    <xf numFmtId="0" fontId="51" fillId="2" borderId="60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left" vertical="center" wrapText="1"/>
    </xf>
    <xf numFmtId="0" fontId="55" fillId="2" borderId="3" xfId="0" applyFont="1" applyFill="1" applyBorder="1" applyAlignment="1">
      <alignment horizontal="left" vertical="center" wrapText="1"/>
    </xf>
    <xf numFmtId="4" fontId="81" fillId="2" borderId="34" xfId="0" applyNumberFormat="1" applyFont="1" applyFill="1" applyBorder="1" applyAlignment="1">
      <alignment horizontal="center" vertical="center" wrapText="1"/>
    </xf>
    <xf numFmtId="4" fontId="81" fillId="2" borderId="39" xfId="0" applyNumberFormat="1" applyFont="1" applyFill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50" fillId="2" borderId="32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/>
    </xf>
    <xf numFmtId="0" fontId="50" fillId="2" borderId="3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>
      <alignment horizontal="right" vertical="center" wrapText="1"/>
    </xf>
    <xf numFmtId="0" fontId="84" fillId="0" borderId="13" xfId="0" applyFont="1" applyBorder="1" applyAlignment="1">
      <alignment horizontal="left" vertical="center" wrapText="1"/>
    </xf>
    <xf numFmtId="0" fontId="84" fillId="0" borderId="62" xfId="0" applyFont="1" applyBorder="1" applyAlignment="1">
      <alignment horizontal="left" vertical="center" wrapText="1"/>
    </xf>
    <xf numFmtId="0" fontId="84" fillId="0" borderId="63" xfId="0" applyFont="1" applyBorder="1" applyAlignment="1">
      <alignment horizontal="left" vertical="center" wrapText="1"/>
    </xf>
    <xf numFmtId="0" fontId="84" fillId="0" borderId="13" xfId="0" applyFont="1" applyBorder="1" applyAlignment="1" applyProtection="1">
      <alignment horizontal="center" vertical="center" wrapText="1"/>
      <protection locked="0"/>
    </xf>
    <xf numFmtId="0" fontId="84" fillId="0" borderId="62" xfId="0" applyFont="1" applyBorder="1" applyAlignment="1" applyProtection="1">
      <alignment horizontal="center" vertical="center" wrapText="1"/>
      <protection locked="0"/>
    </xf>
    <xf numFmtId="0" fontId="84" fillId="0" borderId="63" xfId="0" applyFont="1" applyBorder="1" applyAlignment="1" applyProtection="1">
      <alignment horizontal="center" vertical="center" wrapText="1"/>
      <protection locked="0"/>
    </xf>
    <xf numFmtId="0" fontId="85" fillId="0" borderId="13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85" fillId="0" borderId="6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62" xfId="0" applyFont="1" applyBorder="1" applyAlignment="1">
      <alignment horizontal="left" vertical="center" wrapText="1"/>
    </xf>
    <xf numFmtId="0" fontId="51" fillId="0" borderId="63" xfId="0" applyFont="1" applyBorder="1" applyAlignment="1">
      <alignment horizontal="left" vertical="center" wrapText="1"/>
    </xf>
    <xf numFmtId="0" fontId="53" fillId="0" borderId="0" xfId="0" applyFont="1" applyAlignment="1" applyProtection="1">
      <alignment horizontal="center" vertical="center"/>
      <protection locked="0"/>
    </xf>
    <xf numFmtId="0" fontId="51" fillId="0" borderId="1" xfId="0" applyFont="1" applyBorder="1" applyAlignment="1" applyProtection="1">
      <alignment horizontal="center" vertical="center" wrapText="1"/>
      <protection locked="0"/>
    </xf>
    <xf numFmtId="0" fontId="51" fillId="0" borderId="1" xfId="0" applyFont="1" applyBorder="1" applyAlignment="1">
      <alignment horizontal="left" vertical="center" wrapText="1"/>
    </xf>
    <xf numFmtId="0" fontId="2" fillId="0" borderId="1" xfId="6" applyFont="1" applyFill="1" applyBorder="1" applyAlignment="1">
      <alignment horizontal="left" vertical="center"/>
    </xf>
    <xf numFmtId="0" fontId="64" fillId="0" borderId="66" xfId="0" applyFont="1" applyBorder="1" applyAlignment="1">
      <alignment horizontal="left" vertical="center" wrapText="1"/>
    </xf>
    <xf numFmtId="0" fontId="19" fillId="0" borderId="1" xfId="6" applyFont="1" applyFill="1" applyBorder="1" applyAlignment="1">
      <alignment horizontal="left" vertical="center" wrapText="1"/>
    </xf>
    <xf numFmtId="0" fontId="19" fillId="0" borderId="8" xfId="6" applyFont="1" applyFill="1" applyBorder="1" applyAlignment="1">
      <alignment horizontal="left" vertical="center" wrapText="1"/>
    </xf>
    <xf numFmtId="49" fontId="18" fillId="2" borderId="1" xfId="6" applyNumberFormat="1" applyFont="1" applyFill="1" applyBorder="1" applyAlignment="1">
      <alignment horizontal="left" vertical="top" wrapText="1" readingOrder="1"/>
    </xf>
    <xf numFmtId="0" fontId="51" fillId="0" borderId="1" xfId="0" applyFont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center" vertical="center"/>
    </xf>
    <xf numFmtId="49" fontId="18" fillId="2" borderId="8" xfId="6" applyNumberFormat="1" applyFont="1" applyFill="1" applyBorder="1" applyAlignment="1">
      <alignment horizontal="left" vertical="top" wrapText="1" readingOrder="1"/>
    </xf>
    <xf numFmtId="164" fontId="17" fillId="2" borderId="1" xfId="6" applyNumberFormat="1" applyFont="1" applyFill="1" applyBorder="1" applyAlignment="1">
      <alignment horizontal="left" vertical="center"/>
    </xf>
    <xf numFmtId="49" fontId="20" fillId="2" borderId="1" xfId="6" applyNumberFormat="1" applyFont="1" applyFill="1" applyBorder="1" applyAlignment="1">
      <alignment horizontal="left" vertical="top" wrapText="1" indent="2" readingOrder="1"/>
    </xf>
    <xf numFmtId="0" fontId="18" fillId="2" borderId="1" xfId="6" applyFont="1" applyFill="1" applyBorder="1" applyAlignment="1">
      <alignment horizontal="left" vertical="center" wrapText="1"/>
    </xf>
    <xf numFmtId="0" fontId="17" fillId="0" borderId="6" xfId="6" applyFont="1" applyFill="1" applyBorder="1" applyAlignment="1">
      <alignment horizontal="left" vertical="center" wrapText="1"/>
    </xf>
    <xf numFmtId="0" fontId="20" fillId="2" borderId="1" xfId="6" applyFont="1" applyFill="1" applyBorder="1" applyAlignment="1">
      <alignment horizontal="left" vertical="center" wrapText="1" indent="2"/>
    </xf>
    <xf numFmtId="0" fontId="2" fillId="2" borderId="8" xfId="6" applyFont="1" applyFill="1" applyBorder="1" applyAlignment="1">
      <alignment horizontal="center" vertical="center"/>
    </xf>
    <xf numFmtId="0" fontId="17" fillId="2" borderId="11" xfId="6" applyFont="1" applyFill="1" applyBorder="1" applyAlignment="1">
      <alignment horizontal="left" vertical="center" wrapText="1"/>
    </xf>
    <xf numFmtId="49" fontId="2" fillId="2" borderId="4" xfId="6" applyNumberFormat="1" applyFont="1" applyFill="1" applyBorder="1" applyAlignment="1">
      <alignment vertical="center"/>
    </xf>
    <xf numFmtId="49" fontId="2" fillId="2" borderId="2" xfId="6" applyNumberFormat="1" applyFont="1" applyFill="1" applyBorder="1" applyAlignment="1">
      <alignment vertical="center"/>
    </xf>
    <xf numFmtId="0" fontId="2" fillId="2" borderId="1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2" fillId="2" borderId="35" xfId="6" applyFont="1" applyFill="1" applyBorder="1" applyAlignment="1">
      <alignment horizontal="center" vertical="center" wrapText="1"/>
    </xf>
    <xf numFmtId="0" fontId="2" fillId="2" borderId="52" xfId="6" applyFont="1" applyFill="1" applyBorder="1" applyAlignment="1">
      <alignment horizontal="center" vertical="center" wrapText="1"/>
    </xf>
    <xf numFmtId="0" fontId="2" fillId="2" borderId="64" xfId="6" applyFont="1" applyFill="1" applyBorder="1" applyAlignment="1">
      <alignment horizontal="center" vertical="center" wrapText="1"/>
    </xf>
    <xf numFmtId="49" fontId="8" fillId="2" borderId="13" xfId="6" applyNumberFormat="1" applyFont="1" applyFill="1" applyBorder="1" applyAlignment="1">
      <alignment horizontal="center" vertical="center" wrapText="1"/>
    </xf>
    <xf numFmtId="49" fontId="8" fillId="2" borderId="65" xfId="6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17" xfId="6" applyFont="1" applyFill="1" applyBorder="1" applyAlignment="1">
      <alignment horizontal="center" vertical="center" wrapText="1"/>
    </xf>
    <xf numFmtId="0" fontId="7" fillId="2" borderId="15" xfId="6" applyFont="1" applyFill="1" applyBorder="1" applyAlignment="1">
      <alignment horizontal="center" vertical="center" wrapText="1"/>
    </xf>
    <xf numFmtId="0" fontId="8" fillId="2" borderId="13" xfId="6" applyFont="1" applyFill="1" applyBorder="1" applyAlignment="1">
      <alignment horizontal="center" vertical="center" wrapText="1"/>
    </xf>
    <xf numFmtId="0" fontId="8" fillId="2" borderId="62" xfId="6" applyFont="1" applyFill="1" applyBorder="1" applyAlignment="1">
      <alignment horizontal="center" vertical="center" wrapText="1"/>
    </xf>
    <xf numFmtId="0" fontId="8" fillId="2" borderId="63" xfId="6" applyFont="1" applyFill="1" applyBorder="1" applyAlignment="1">
      <alignment horizontal="center" vertical="center" wrapText="1"/>
    </xf>
    <xf numFmtId="0" fontId="7" fillId="2" borderId="13" xfId="6" applyFont="1" applyFill="1" applyBorder="1" applyAlignment="1">
      <alignment horizontal="center" vertical="center" wrapText="1"/>
    </xf>
    <xf numFmtId="0" fontId="7" fillId="2" borderId="63" xfId="6" applyFont="1" applyFill="1" applyBorder="1" applyAlignment="1">
      <alignment horizontal="center" vertical="center" wrapText="1"/>
    </xf>
    <xf numFmtId="0" fontId="5" fillId="0" borderId="39" xfId="6" applyFont="1" applyFill="1" applyBorder="1" applyAlignment="1">
      <alignment horizontal="right" vertical="center" wrapText="1"/>
    </xf>
    <xf numFmtId="0" fontId="21" fillId="0" borderId="1" xfId="6" applyFont="1" applyFill="1" applyBorder="1" applyAlignment="1">
      <alignment horizontal="left" vertical="center" wrapText="1" indent="1"/>
    </xf>
    <xf numFmtId="0" fontId="8" fillId="0" borderId="1" xfId="6" applyFont="1" applyFill="1" applyBorder="1" applyAlignment="1">
      <alignment horizontal="left" vertical="center" wrapText="1"/>
    </xf>
    <xf numFmtId="0" fontId="8" fillId="0" borderId="8" xfId="6" applyFont="1" applyFill="1" applyBorder="1" applyAlignment="1">
      <alignment horizontal="left" vertical="center" wrapText="1"/>
    </xf>
    <xf numFmtId="0" fontId="2" fillId="2" borderId="22" xfId="6" applyFont="1" applyFill="1" applyBorder="1" applyAlignment="1">
      <alignment horizontal="center" vertical="center"/>
    </xf>
    <xf numFmtId="0" fontId="2" fillId="2" borderId="66" xfId="6" applyFont="1" applyFill="1" applyBorder="1" applyAlignment="1">
      <alignment horizontal="center" vertical="center"/>
    </xf>
    <xf numFmtId="0" fontId="2" fillId="2" borderId="50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 wrapText="1"/>
    </xf>
    <xf numFmtId="49" fontId="2" fillId="2" borderId="4" xfId="6" applyNumberFormat="1" applyFont="1" applyFill="1" applyBorder="1" applyAlignment="1">
      <alignment horizontal="center" vertical="center"/>
    </xf>
    <xf numFmtId="49" fontId="2" fillId="2" borderId="2" xfId="6" applyNumberFormat="1" applyFont="1" applyFill="1" applyBorder="1" applyAlignment="1">
      <alignment horizontal="center" vertical="center"/>
    </xf>
    <xf numFmtId="49" fontId="2" fillId="2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right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7" xfId="6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49" fontId="2" fillId="2" borderId="1" xfId="6" applyNumberFormat="1" applyFont="1" applyFill="1" applyBorder="1" applyAlignment="1">
      <alignment horizontal="center" vertical="center" wrapText="1"/>
    </xf>
    <xf numFmtId="49" fontId="2" fillId="2" borderId="7" xfId="6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2" borderId="6" xfId="6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 wrapText="1"/>
    </xf>
    <xf numFmtId="4" fontId="8" fillId="2" borderId="6" xfId="6" applyNumberFormat="1" applyFont="1" applyFill="1" applyBorder="1" applyAlignment="1">
      <alignment horizontal="center" vertical="center"/>
    </xf>
    <xf numFmtId="4" fontId="8" fillId="2" borderId="5" xfId="6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2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8" xfId="6" applyFont="1" applyFill="1" applyBorder="1" applyAlignment="1">
      <alignment horizontal="left" vertical="center" wrapText="1"/>
    </xf>
    <xf numFmtId="0" fontId="6" fillId="0" borderId="13" xfId="6" applyFont="1" applyFill="1" applyBorder="1" applyAlignment="1">
      <alignment horizontal="left" vertical="center" wrapText="1"/>
    </xf>
    <xf numFmtId="0" fontId="6" fillId="0" borderId="62" xfId="6" applyFont="1" applyFill="1" applyBorder="1" applyAlignment="1">
      <alignment horizontal="left" vertical="center" wrapText="1"/>
    </xf>
    <xf numFmtId="0" fontId="6" fillId="0" borderId="63" xfId="6" applyFont="1" applyFill="1" applyBorder="1" applyAlignment="1">
      <alignment horizontal="left" vertical="center" wrapText="1"/>
    </xf>
    <xf numFmtId="0" fontId="2" fillId="0" borderId="8" xfId="6" applyFont="1" applyFill="1" applyBorder="1" applyAlignment="1">
      <alignment horizontal="left" vertical="center" wrapText="1"/>
    </xf>
    <xf numFmtId="0" fontId="66" fillId="2" borderId="20" xfId="6" applyFont="1" applyFill="1" applyBorder="1" applyAlignment="1">
      <alignment horizontal="left" vertical="center" wrapText="1"/>
    </xf>
    <xf numFmtId="0" fontId="66" fillId="2" borderId="0" xfId="6" applyFont="1" applyFill="1" applyBorder="1" applyAlignment="1">
      <alignment horizontal="left" vertical="center"/>
    </xf>
    <xf numFmtId="0" fontId="59" fillId="2" borderId="6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left" vertical="center" wrapText="1"/>
    </xf>
    <xf numFmtId="0" fontId="64" fillId="2" borderId="1" xfId="6" applyFont="1" applyFill="1" applyBorder="1" applyAlignment="1">
      <alignment horizontal="left" vertical="center" wrapText="1"/>
    </xf>
    <xf numFmtId="0" fontId="15" fillId="2" borderId="8" xfId="6" applyFont="1" applyFill="1" applyBorder="1" applyAlignment="1">
      <alignment horizontal="left" vertical="center" wrapText="1"/>
    </xf>
    <xf numFmtId="0" fontId="15" fillId="0" borderId="1" xfId="6" applyFont="1" applyFill="1" applyBorder="1" applyAlignment="1">
      <alignment horizontal="left" vertical="center"/>
    </xf>
    <xf numFmtId="0" fontId="15" fillId="0" borderId="1" xfId="6" applyFont="1" applyFill="1" applyBorder="1" applyAlignment="1">
      <alignment horizontal="left" vertical="center" wrapText="1"/>
    </xf>
    <xf numFmtId="0" fontId="2" fillId="0" borderId="13" xfId="6" applyFont="1" applyFill="1" applyBorder="1" applyAlignment="1">
      <alignment horizontal="left" vertical="center" wrapText="1" indent="3"/>
    </xf>
    <xf numFmtId="0" fontId="2" fillId="0" borderId="63" xfId="6" applyFont="1" applyFill="1" applyBorder="1" applyAlignment="1">
      <alignment horizontal="left" vertical="center" wrapText="1" indent="3"/>
    </xf>
    <xf numFmtId="0" fontId="2" fillId="0" borderId="1" xfId="6" applyFont="1" applyFill="1" applyBorder="1" applyAlignment="1">
      <alignment horizontal="left" vertical="center" wrapText="1" indent="3"/>
    </xf>
    <xf numFmtId="0" fontId="2" fillId="2" borderId="1" xfId="6" applyFont="1" applyFill="1" applyBorder="1" applyAlignment="1">
      <alignment horizontal="left" vertical="center" wrapText="1" indent="3"/>
    </xf>
    <xf numFmtId="0" fontId="2" fillId="2" borderId="13" xfId="6" applyFont="1" applyFill="1" applyBorder="1" applyAlignment="1">
      <alignment horizontal="left" vertical="center" wrapText="1" indent="3"/>
    </xf>
    <xf numFmtId="0" fontId="2" fillId="2" borderId="63" xfId="6" applyFont="1" applyFill="1" applyBorder="1" applyAlignment="1">
      <alignment horizontal="left" vertical="center" wrapText="1" indent="3"/>
    </xf>
    <xf numFmtId="0" fontId="2" fillId="2" borderId="1" xfId="6" applyFont="1" applyFill="1" applyBorder="1" applyAlignment="1">
      <alignment horizontal="left" vertical="center" wrapText="1"/>
    </xf>
    <xf numFmtId="0" fontId="15" fillId="2" borderId="1" xfId="6" applyFont="1" applyFill="1" applyBorder="1" applyAlignment="1">
      <alignment horizontal="left" vertical="center" wrapText="1"/>
    </xf>
    <xf numFmtId="0" fontId="6" fillId="2" borderId="6" xfId="6" applyFont="1" applyFill="1" applyBorder="1" applyAlignment="1">
      <alignment horizontal="left" vertical="center" wrapText="1"/>
    </xf>
    <xf numFmtId="0" fontId="2" fillId="2" borderId="17" xfId="6" applyFont="1" applyFill="1" applyBorder="1" applyAlignment="1">
      <alignment horizontal="left" vertical="center" wrapText="1"/>
    </xf>
    <xf numFmtId="0" fontId="55" fillId="0" borderId="1" xfId="6" applyFont="1" applyFill="1" applyBorder="1" applyAlignment="1">
      <alignment horizontal="left" vertical="center" wrapText="1"/>
    </xf>
    <xf numFmtId="0" fontId="15" fillId="2" borderId="6" xfId="6" applyFont="1" applyFill="1" applyBorder="1" applyAlignment="1">
      <alignment horizontal="left" vertical="center" wrapText="1"/>
    </xf>
    <xf numFmtId="4" fontId="55" fillId="2" borderId="6" xfId="0" applyNumberFormat="1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left" vertical="center" wrapText="1"/>
    </xf>
    <xf numFmtId="0" fontId="15" fillId="2" borderId="15" xfId="6" applyFont="1" applyFill="1" applyBorder="1" applyAlignment="1">
      <alignment horizontal="left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left" vertical="center" wrapText="1"/>
    </xf>
    <xf numFmtId="0" fontId="6" fillId="2" borderId="8" xfId="6" applyFont="1" applyFill="1" applyBorder="1" applyAlignment="1">
      <alignment horizontal="left" vertical="center" wrapText="1"/>
    </xf>
    <xf numFmtId="0" fontId="16" fillId="2" borderId="1" xfId="6" applyFont="1" applyFill="1" applyBorder="1" applyAlignment="1">
      <alignment horizont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4" fontId="2" fillId="2" borderId="6" xfId="6" applyNumberFormat="1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left" vertical="center"/>
    </xf>
    <xf numFmtId="0" fontId="6" fillId="2" borderId="1" xfId="6" applyFont="1" applyFill="1" applyBorder="1" applyAlignment="1">
      <alignment horizontal="left" vertical="center"/>
    </xf>
    <xf numFmtId="0" fontId="86" fillId="2" borderId="1" xfId="6" applyFont="1" applyFill="1" applyBorder="1" applyAlignment="1">
      <alignment horizontal="left" vertical="center" wrapText="1" indent="3"/>
    </xf>
    <xf numFmtId="0" fontId="51" fillId="0" borderId="0" xfId="0" applyFont="1" applyFill="1" applyBorder="1" applyAlignment="1">
      <alignment horizontal="right" vertical="center" wrapText="1" indent="1"/>
    </xf>
    <xf numFmtId="0" fontId="5" fillId="0" borderId="0" xfId="6" applyFont="1" applyFill="1" applyBorder="1" applyAlignment="1">
      <alignment horizontal="right" vertical="center" indent="1"/>
    </xf>
    <xf numFmtId="0" fontId="2" fillId="0" borderId="1" xfId="6" applyFont="1" applyFill="1" applyBorder="1" applyAlignment="1" applyProtection="1">
      <alignment horizontal="center" vertical="center"/>
    </xf>
    <xf numFmtId="0" fontId="2" fillId="0" borderId="24" xfId="6" applyFont="1" applyFill="1" applyBorder="1" applyAlignment="1" applyProtection="1">
      <alignment horizontal="center" vertical="center"/>
      <protection locked="0"/>
    </xf>
    <xf numFmtId="0" fontId="2" fillId="0" borderId="43" xfId="6" applyFont="1" applyFill="1" applyBorder="1" applyAlignment="1" applyProtection="1">
      <alignment horizontal="center" vertical="center"/>
      <protection locked="0"/>
    </xf>
    <xf numFmtId="0" fontId="2" fillId="0" borderId="26" xfId="6" applyFont="1" applyFill="1" applyBorder="1" applyAlignment="1" applyProtection="1">
      <alignment horizontal="center" vertical="center"/>
      <protection locked="0"/>
    </xf>
    <xf numFmtId="0" fontId="2" fillId="0" borderId="25" xfId="6" applyFont="1" applyFill="1" applyBorder="1" applyAlignment="1" applyProtection="1">
      <alignment horizontal="center" vertical="center"/>
      <protection locked="0"/>
    </xf>
    <xf numFmtId="0" fontId="2" fillId="0" borderId="22" xfId="6" applyFont="1" applyFill="1" applyBorder="1" applyAlignment="1" applyProtection="1">
      <alignment horizontal="center" vertical="center"/>
      <protection locked="0"/>
    </xf>
    <xf numFmtId="0" fontId="2" fillId="0" borderId="50" xfId="6" applyFont="1" applyFill="1" applyBorder="1" applyAlignment="1" applyProtection="1">
      <alignment horizontal="center" vertical="center"/>
      <protection locked="0"/>
    </xf>
    <xf numFmtId="3" fontId="2" fillId="2" borderId="17" xfId="6" applyNumberFormat="1" applyFont="1" applyFill="1" applyBorder="1" applyAlignment="1">
      <alignment horizontal="center" vertical="center" wrapText="1"/>
    </xf>
    <xf numFmtId="3" fontId="2" fillId="2" borderId="23" xfId="6" applyNumberFormat="1" applyFont="1" applyFill="1" applyBorder="1" applyAlignment="1">
      <alignment horizontal="center" vertical="center" wrapText="1"/>
    </xf>
    <xf numFmtId="3" fontId="2" fillId="2" borderId="15" xfId="6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left" vertical="center" wrapText="1" indent="8"/>
    </xf>
    <xf numFmtId="0" fontId="2" fillId="2" borderId="0" xfId="6" applyFont="1" applyFill="1" applyBorder="1" applyAlignment="1">
      <alignment horizontal="left" vertical="center" wrapText="1"/>
    </xf>
    <xf numFmtId="4" fontId="2" fillId="2" borderId="1" xfId="6" applyNumberFormat="1" applyFont="1" applyFill="1" applyBorder="1" applyAlignment="1" applyProtection="1">
      <alignment horizontal="left" vertical="center" wrapText="1"/>
    </xf>
    <xf numFmtId="0" fontId="55" fillId="0" borderId="13" xfId="6" applyFont="1" applyFill="1" applyBorder="1" applyAlignment="1">
      <alignment horizontal="center" vertical="center"/>
    </xf>
    <xf numFmtId="0" fontId="55" fillId="0" borderId="62" xfId="6" applyFont="1" applyFill="1" applyBorder="1" applyAlignment="1">
      <alignment horizontal="center" vertical="center"/>
    </xf>
    <xf numFmtId="0" fontId="55" fillId="0" borderId="63" xfId="6" applyFont="1" applyFill="1" applyBorder="1" applyAlignment="1">
      <alignment horizontal="center" vertical="center"/>
    </xf>
    <xf numFmtId="0" fontId="5" fillId="2" borderId="42" xfId="6" applyFont="1" applyFill="1" applyBorder="1" applyAlignment="1" applyProtection="1">
      <alignment horizontal="left" vertical="center" wrapText="1"/>
      <protection locked="0"/>
    </xf>
    <xf numFmtId="0" fontId="55" fillId="0" borderId="6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" fillId="2" borderId="0" xfId="6" applyFont="1" applyFill="1" applyBorder="1" applyAlignment="1">
      <alignment horizontal="right"/>
    </xf>
    <xf numFmtId="0" fontId="10" fillId="2" borderId="6" xfId="6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16" fillId="2" borderId="2" xfId="6" applyFont="1" applyFill="1" applyBorder="1" applyAlignment="1">
      <alignment horizontal="center" vertical="center" wrapText="1"/>
    </xf>
    <xf numFmtId="49" fontId="16" fillId="2" borderId="4" xfId="6" applyNumberFormat="1" applyFont="1" applyFill="1" applyBorder="1" applyAlignment="1">
      <alignment horizontal="center" vertical="center" wrapText="1"/>
    </xf>
    <xf numFmtId="0" fontId="16" fillId="2" borderId="6" xfId="6" applyFont="1" applyFill="1" applyBorder="1" applyAlignment="1">
      <alignment horizontal="center" vertical="center" wrapText="1"/>
    </xf>
    <xf numFmtId="49" fontId="10" fillId="2" borderId="33" xfId="6" applyNumberFormat="1" applyFont="1" applyFill="1" applyBorder="1" applyAlignment="1">
      <alignment horizontal="center" vertical="center" wrapText="1"/>
    </xf>
    <xf numFmtId="49" fontId="10" fillId="2" borderId="34" xfId="6" applyNumberFormat="1" applyFont="1" applyFill="1" applyBorder="1" applyAlignment="1">
      <alignment horizontal="center" vertical="center" wrapText="1"/>
    </xf>
    <xf numFmtId="49" fontId="10" fillId="2" borderId="28" xfId="6" applyNumberFormat="1" applyFont="1" applyFill="1" applyBorder="1" applyAlignment="1">
      <alignment horizontal="center" vertical="center" wrapText="1"/>
    </xf>
    <xf numFmtId="49" fontId="10" fillId="2" borderId="22" xfId="6" applyNumberFormat="1" applyFont="1" applyFill="1" applyBorder="1" applyAlignment="1">
      <alignment horizontal="center" vertical="center" wrapText="1"/>
    </xf>
    <xf numFmtId="49" fontId="10" fillId="2" borderId="66" xfId="6" applyNumberFormat="1" applyFont="1" applyFill="1" applyBorder="1" applyAlignment="1">
      <alignment horizontal="center" vertical="center" wrapText="1"/>
    </xf>
    <xf numFmtId="49" fontId="10" fillId="2" borderId="50" xfId="6" applyNumberFormat="1" applyFont="1" applyFill="1" applyBorder="1" applyAlignment="1">
      <alignment horizontal="center" vertical="center" wrapText="1"/>
    </xf>
    <xf numFmtId="16" fontId="16" fillId="2" borderId="67" xfId="6" applyNumberFormat="1" applyFont="1" applyFill="1" applyBorder="1" applyAlignment="1">
      <alignment horizontal="left" wrapText="1" indent="2"/>
    </xf>
    <xf numFmtId="16" fontId="16" fillId="2" borderId="63" xfId="6" applyNumberFormat="1" applyFont="1" applyFill="1" applyBorder="1" applyAlignment="1">
      <alignment horizontal="left" wrapText="1" indent="2"/>
    </xf>
    <xf numFmtId="0" fontId="2" fillId="2" borderId="1" xfId="6" applyFont="1" applyFill="1" applyBorder="1" applyAlignment="1">
      <alignment horizontal="left" vertical="center" wrapText="1" indent="2"/>
    </xf>
    <xf numFmtId="0" fontId="8" fillId="0" borderId="4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8" fillId="0" borderId="35" xfId="6" applyFont="1" applyFill="1" applyBorder="1" applyAlignment="1">
      <alignment horizontal="center" vertical="center"/>
    </xf>
    <xf numFmtId="0" fontId="8" fillId="0" borderId="52" xfId="6" applyFont="1" applyFill="1" applyBorder="1" applyAlignment="1">
      <alignment horizontal="center" vertical="center"/>
    </xf>
    <xf numFmtId="0" fontId="8" fillId="0" borderId="53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2" fillId="2" borderId="8" xfId="6" applyFont="1" applyFill="1" applyBorder="1" applyAlignment="1">
      <alignment horizontal="left" vertical="center" wrapText="1" indent="2"/>
    </xf>
    <xf numFmtId="0" fontId="8" fillId="0" borderId="8" xfId="6" applyFont="1" applyFill="1" applyBorder="1" applyAlignment="1">
      <alignment horizontal="left" vertical="center" wrapText="1" inden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2" fillId="2" borderId="17" xfId="6" applyFont="1" applyFill="1" applyBorder="1" applyAlignment="1">
      <alignment horizontal="left" vertical="center" wrapText="1" indent="2"/>
    </xf>
    <xf numFmtId="16" fontId="16" fillId="2" borderId="51" xfId="6" applyNumberFormat="1" applyFont="1" applyFill="1" applyBorder="1" applyAlignment="1">
      <alignment horizontal="left" wrapText="1" indent="2"/>
    </xf>
    <xf numFmtId="16" fontId="16" fillId="2" borderId="53" xfId="6" applyNumberFormat="1" applyFont="1" applyFill="1" applyBorder="1" applyAlignment="1">
      <alignment horizontal="left" wrapText="1" indent="2"/>
    </xf>
    <xf numFmtId="16" fontId="16" fillId="2" borderId="60" xfId="6" applyNumberFormat="1" applyFont="1" applyFill="1" applyBorder="1" applyAlignment="1">
      <alignment horizontal="left" wrapText="1" indent="2"/>
    </xf>
    <xf numFmtId="16" fontId="16" fillId="2" borderId="44" xfId="6" applyNumberFormat="1" applyFont="1" applyFill="1" applyBorder="1" applyAlignment="1">
      <alignment horizontal="left" wrapText="1" indent="2"/>
    </xf>
    <xf numFmtId="0" fontId="2" fillId="0" borderId="13" xfId="6" applyFont="1" applyFill="1" applyBorder="1" applyAlignment="1">
      <alignment horizontal="center" vertical="center" wrapText="1"/>
    </xf>
    <xf numFmtId="0" fontId="2" fillId="0" borderId="62" xfId="6" applyFont="1" applyFill="1" applyBorder="1" applyAlignment="1">
      <alignment horizontal="center" vertical="center" wrapText="1"/>
    </xf>
    <xf numFmtId="0" fontId="2" fillId="0" borderId="63" xfId="6" applyFont="1" applyFill="1" applyBorder="1" applyAlignment="1">
      <alignment horizontal="center" vertical="center" wrapText="1"/>
    </xf>
    <xf numFmtId="0" fontId="10" fillId="2" borderId="4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4" fontId="55" fillId="2" borderId="1" xfId="0" applyNumberFormat="1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 indent="2"/>
    </xf>
    <xf numFmtId="0" fontId="8" fillId="0" borderId="1" xfId="6" applyFont="1" applyFill="1" applyBorder="1" applyAlignment="1">
      <alignment horizontal="left" vertical="center" wrapText="1" indent="1"/>
    </xf>
    <xf numFmtId="0" fontId="5" fillId="2" borderId="0" xfId="5" applyFont="1" applyFill="1" applyBorder="1" applyAlignment="1">
      <alignment horizontal="left" vertical="center"/>
    </xf>
    <xf numFmtId="16" fontId="16" fillId="2" borderId="69" xfId="6" applyNumberFormat="1" applyFont="1" applyFill="1" applyBorder="1" applyAlignment="1">
      <alignment horizontal="left" wrapText="1" indent="2"/>
    </xf>
    <xf numFmtId="16" fontId="16" fillId="2" borderId="43" xfId="6" applyNumberFormat="1" applyFont="1" applyFill="1" applyBorder="1" applyAlignment="1">
      <alignment horizontal="left" wrapText="1" indent="2"/>
    </xf>
    <xf numFmtId="0" fontId="2" fillId="0" borderId="6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4" fontId="55" fillId="2" borderId="5" xfId="0" applyNumberFormat="1" applyFont="1" applyFill="1" applyBorder="1" applyAlignment="1">
      <alignment horizontal="center" vertical="center" wrapText="1"/>
    </xf>
    <xf numFmtId="4" fontId="55" fillId="2" borderId="7" xfId="0" applyNumberFormat="1" applyFont="1" applyFill="1" applyBorder="1" applyAlignment="1">
      <alignment horizontal="center" vertical="center" wrapText="1"/>
    </xf>
    <xf numFmtId="4" fontId="55" fillId="2" borderId="0" xfId="0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left" vertical="center" wrapText="1"/>
    </xf>
    <xf numFmtId="0" fontId="8" fillId="2" borderId="8" xfId="6" applyFont="1" applyFill="1" applyBorder="1" applyAlignment="1">
      <alignment horizontal="left" vertical="center" wrapText="1" indent="2"/>
    </xf>
    <xf numFmtId="1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53" fillId="6" borderId="1" xfId="0" applyFont="1" applyFill="1" applyBorder="1" applyAlignment="1" applyProtection="1">
      <alignment horizontal="left"/>
      <protection locked="0"/>
    </xf>
    <xf numFmtId="0" fontId="56" fillId="11" borderId="1" xfId="0" applyFont="1" applyFill="1" applyBorder="1" applyAlignment="1">
      <alignment horizontal="left" wrapText="1" indent="1"/>
    </xf>
    <xf numFmtId="0" fontId="56" fillId="0" borderId="1" xfId="0" applyFont="1" applyFill="1" applyBorder="1" applyAlignment="1">
      <alignment horizontal="left" wrapText="1" indent="1"/>
    </xf>
    <xf numFmtId="0" fontId="55" fillId="0" borderId="1" xfId="0" applyFont="1" applyFill="1" applyBorder="1" applyAlignment="1">
      <alignment horizontal="left" wrapText="1"/>
    </xf>
    <xf numFmtId="0" fontId="55" fillId="2" borderId="1" xfId="0" applyFont="1" applyFill="1" applyBorder="1" applyAlignment="1">
      <alignment horizontal="left" wrapText="1"/>
    </xf>
    <xf numFmtId="0" fontId="56" fillId="2" borderId="1" xfId="0" applyFont="1" applyFill="1" applyBorder="1" applyAlignment="1">
      <alignment horizontal="left" wrapText="1" indent="4"/>
    </xf>
    <xf numFmtId="0" fontId="53" fillId="0" borderId="1" xfId="0" applyFont="1" applyBorder="1" applyAlignment="1">
      <alignment horizontal="left" wrapText="1"/>
    </xf>
    <xf numFmtId="0" fontId="64" fillId="11" borderId="1" xfId="0" applyFont="1" applyFill="1" applyBorder="1" applyAlignment="1">
      <alignment horizontal="left" wrapText="1"/>
    </xf>
    <xf numFmtId="0" fontId="56" fillId="0" borderId="1" xfId="0" applyFont="1" applyFill="1" applyBorder="1" applyAlignment="1">
      <alignment horizontal="left" wrapText="1"/>
    </xf>
    <xf numFmtId="0" fontId="64" fillId="3" borderId="1" xfId="0" applyFont="1" applyFill="1" applyBorder="1" applyAlignment="1">
      <alignment horizontal="left" wrapText="1"/>
    </xf>
    <xf numFmtId="0" fontId="87" fillId="2" borderId="1" xfId="0" applyFont="1" applyFill="1" applyBorder="1" applyAlignment="1">
      <alignment horizontal="left" wrapText="1"/>
    </xf>
    <xf numFmtId="0" fontId="53" fillId="6" borderId="1" xfId="0" applyFont="1" applyFill="1" applyBorder="1" applyAlignment="1">
      <alignment horizontal="left"/>
    </xf>
    <xf numFmtId="0" fontId="53" fillId="0" borderId="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7" fillId="0" borderId="1" xfId="0" applyFont="1" applyFill="1" applyBorder="1" applyAlignment="1">
      <alignment horizontal="left" wrapText="1" indent="1"/>
    </xf>
    <xf numFmtId="0" fontId="56" fillId="11" borderId="1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62" xfId="0" applyFont="1" applyBorder="1" applyAlignment="1">
      <alignment horizontal="left" wrapText="1"/>
    </xf>
    <xf numFmtId="0" fontId="53" fillId="0" borderId="63" xfId="0" applyFont="1" applyBorder="1" applyAlignment="1">
      <alignment horizontal="left" wrapText="1"/>
    </xf>
    <xf numFmtId="0" fontId="55" fillId="0" borderId="1" xfId="0" applyFont="1" applyBorder="1" applyAlignment="1">
      <alignment horizontal="center"/>
    </xf>
    <xf numFmtId="0" fontId="53" fillId="0" borderId="1" xfId="0" applyFont="1" applyBorder="1" applyAlignment="1">
      <alignment horizontal="left" vertical="center" wrapText="1"/>
    </xf>
    <xf numFmtId="0" fontId="55" fillId="3" borderId="1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left" vertical="center"/>
    </xf>
    <xf numFmtId="0" fontId="55" fillId="2" borderId="0" xfId="0" applyFont="1" applyFill="1" applyAlignment="1">
      <alignment horizontal="right" vertical="center" wrapText="1"/>
    </xf>
    <xf numFmtId="0" fontId="55" fillId="2" borderId="0" xfId="0" applyFont="1" applyFill="1" applyAlignment="1">
      <alignment horizontal="right" vertical="center"/>
    </xf>
    <xf numFmtId="0" fontId="53" fillId="2" borderId="0" xfId="0" applyFont="1" applyFill="1" applyAlignment="1">
      <alignment horizontal="center"/>
    </xf>
    <xf numFmtId="49" fontId="10" fillId="2" borderId="4" xfId="6" applyNumberFormat="1" applyFont="1" applyFill="1" applyBorder="1" applyAlignment="1">
      <alignment horizontal="center" vertical="center" wrapText="1"/>
    </xf>
    <xf numFmtId="49" fontId="10" fillId="2" borderId="2" xfId="6" applyNumberFormat="1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49" fontId="10" fillId="2" borderId="6" xfId="6" applyNumberFormat="1" applyFont="1" applyFill="1" applyBorder="1" applyAlignment="1">
      <alignment horizontal="center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6" xfId="6" applyFont="1" applyFill="1" applyBorder="1" applyAlignment="1">
      <alignment horizontal="center" vertical="center"/>
    </xf>
    <xf numFmtId="0" fontId="51" fillId="2" borderId="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right" vertical="center" wrapText="1"/>
    </xf>
    <xf numFmtId="0" fontId="53" fillId="0" borderId="0" xfId="0" applyFont="1" applyAlignment="1">
      <alignment horizontal="center"/>
    </xf>
  </cellXfs>
  <cellStyles count="9">
    <cellStyle name="Normal" xfId="1" xr:uid="{00000000-0005-0000-0000-000000000000}"/>
    <cellStyle name="Normal 2" xfId="2" xr:uid="{00000000-0005-0000-0000-000001000000}"/>
    <cellStyle name="Normal 3" xfId="3" xr:uid="{00000000-0005-0000-0000-000002000000}"/>
    <cellStyle name="Normal 5" xfId="4" xr:uid="{00000000-0005-0000-0000-000003000000}"/>
    <cellStyle name="Гиперссылка" xfId="5" builtinId="8"/>
    <cellStyle name="Обычный" xfId="0" builtinId="0"/>
    <cellStyle name="Обычный 2" xfId="6" xr:uid="{00000000-0005-0000-0000-000006000000}"/>
    <cellStyle name="Обычный 3" xfId="7" xr:uid="{00000000-0005-0000-0000-000007000000}"/>
    <cellStyle name="Обычный_Звіт   4,5,6" xfId="8" xr:uid="{00000000-0005-0000-0000-000008000000}"/>
  </cellStyles>
  <dxfs count="101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zakon.rada.gov.ua/laws/show/z1442-05" TargetMode="Externa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pageSetUpPr fitToPage="1"/>
  </sheetPr>
  <dimension ref="A1:S104"/>
  <sheetViews>
    <sheetView topLeftCell="B79" zoomScale="70" zoomScaleNormal="70" workbookViewId="0">
      <selection activeCell="H91" sqref="H91"/>
    </sheetView>
  </sheetViews>
  <sheetFormatPr defaultRowHeight="23.25" customHeight="1" x14ac:dyDescent="0.25"/>
  <cols>
    <col min="1" max="1" width="0" hidden="1" customWidth="1"/>
    <col min="2" max="2" width="10" style="12" customWidth="1"/>
    <col min="3" max="3" width="80.5703125" style="306" customWidth="1"/>
    <col min="4" max="4" width="20.85546875" style="305" customWidth="1"/>
    <col min="5" max="5" width="17.5703125" style="306" customWidth="1"/>
    <col min="6" max="6" width="26.42578125" style="41" customWidth="1"/>
    <col min="7" max="7" width="31.5703125" style="12" customWidth="1"/>
    <col min="8" max="8" width="36.85546875" style="12" customWidth="1"/>
    <col min="9" max="9" width="37.42578125" style="12" customWidth="1"/>
    <col min="10" max="10" width="34.42578125" style="12" customWidth="1"/>
    <col min="11" max="11" width="30.5703125" style="12" customWidth="1"/>
    <col min="12" max="12" width="33" style="12" customWidth="1"/>
    <col min="13" max="15" width="27.5703125" style="12" customWidth="1"/>
    <col min="16" max="16" width="33.42578125" customWidth="1"/>
    <col min="17" max="17" width="34.5703125" customWidth="1"/>
    <col min="18" max="18" width="24.42578125" customWidth="1"/>
  </cols>
  <sheetData>
    <row r="1" spans="1:18" ht="23.25" customHeight="1" x14ac:dyDescent="0.3">
      <c r="C1" s="286" t="str">
        <f>'Звіт 1,2,3'!B1</f>
        <v>Ідентифікаційний код ЄДРПОУ</v>
      </c>
      <c r="D1" s="287">
        <f>'Звіт 1,2,3'!D1</f>
        <v>37650571</v>
      </c>
      <c r="E1" s="288" t="str">
        <f>'Звіт 1,2,3'!F1</f>
        <v>код КОПФГ</v>
      </c>
      <c r="F1" s="311">
        <f>'Звіт 1,2,3'!H1</f>
        <v>150</v>
      </c>
      <c r="G1" s="739">
        <f>'Звіт 1,2,3'!H7</f>
        <v>0</v>
      </c>
      <c r="H1" s="740"/>
      <c r="I1" s="740"/>
      <c r="J1" s="740"/>
      <c r="K1" s="740"/>
      <c r="L1" s="740"/>
    </row>
    <row r="2" spans="1:18" s="290" customFormat="1" ht="24" customHeight="1" x14ac:dyDescent="0.3">
      <c r="A2" s="289"/>
      <c r="B2" s="382"/>
      <c r="C2" s="741" t="s">
        <v>452</v>
      </c>
      <c r="D2" s="741"/>
      <c r="E2" s="741"/>
      <c r="F2" s="741"/>
      <c r="G2" s="741"/>
      <c r="H2" s="741"/>
      <c r="I2" s="641" t="s">
        <v>717</v>
      </c>
      <c r="J2" s="31" t="str">
        <f>IF('Звіт   4,5,6'!E30=0,"Дані не введено",Hidden!E5)</f>
        <v>Синя</v>
      </c>
      <c r="K2" s="31"/>
      <c r="L2" s="31"/>
      <c r="M2" s="31"/>
      <c r="N2" s="31"/>
      <c r="O2" s="31"/>
    </row>
    <row r="3" spans="1:18" s="290" customFormat="1" ht="20.100000000000001" customHeight="1" thickBot="1" x14ac:dyDescent="0.3">
      <c r="B3" s="31"/>
      <c r="C3" s="742" t="str">
        <f>'Звіт 1,2,3'!A3</f>
        <v>ЗВІТ ПРО ДОХОДИ ТА ВИТРАТИ за квартал 2020 року</v>
      </c>
      <c r="D3" s="742"/>
      <c r="E3" s="742"/>
      <c r="F3" s="742"/>
      <c r="G3" s="742"/>
      <c r="H3" s="742"/>
      <c r="I3" s="31"/>
      <c r="J3" s="31"/>
      <c r="K3" s="31"/>
      <c r="L3" s="31"/>
      <c r="M3" s="31"/>
      <c r="N3" s="31"/>
      <c r="O3" s="31"/>
    </row>
    <row r="4" spans="1:18" ht="46.35" customHeight="1" thickBot="1" x14ac:dyDescent="0.35">
      <c r="A4" s="291" t="s">
        <v>453</v>
      </c>
      <c r="B4" s="312" t="s">
        <v>625</v>
      </c>
      <c r="C4" s="313" t="s">
        <v>454</v>
      </c>
      <c r="D4" s="464" t="s">
        <v>455</v>
      </c>
      <c r="E4" s="314" t="s">
        <v>456</v>
      </c>
      <c r="F4" s="315" t="s">
        <v>457</v>
      </c>
      <c r="G4" s="743" t="s">
        <v>458</v>
      </c>
      <c r="H4" s="743"/>
      <c r="I4" s="743"/>
      <c r="J4" s="743"/>
      <c r="K4" s="744"/>
      <c r="L4" s="745"/>
    </row>
    <row r="5" spans="1:18" ht="46.35" customHeight="1" thickBot="1" x14ac:dyDescent="0.35">
      <c r="A5" s="291"/>
      <c r="B5" s="319"/>
      <c r="C5" s="298" t="s">
        <v>519</v>
      </c>
      <c r="D5" s="320" t="s">
        <v>459</v>
      </c>
      <c r="E5" s="321" t="str">
        <f>IF($G$5="Паливо.","дані заповнені в новій формі, усе правильно","Увага, форма не актуальна, необхідно надіслати звіт в новій формі")</f>
        <v>дані заповнені в новій формі, усе правильно</v>
      </c>
      <c r="F5" s="321" t="b">
        <f>IF($G$5="Паливо.",TRUE)</f>
        <v>1</v>
      </c>
      <c r="G5" s="330" t="str">
        <f>'Звіт 1,2,3'!B26</f>
        <v>Паливо.</v>
      </c>
      <c r="H5" s="458"/>
      <c r="I5" s="458"/>
      <c r="J5" s="458"/>
      <c r="K5" s="322"/>
      <c r="L5" s="322"/>
    </row>
    <row r="6" spans="1:18" ht="27.6" customHeight="1" x14ac:dyDescent="0.3">
      <c r="A6" s="292"/>
      <c r="B6" s="672" t="s">
        <v>626</v>
      </c>
      <c r="C6" s="746" t="s">
        <v>518</v>
      </c>
      <c r="D6" s="664" t="s">
        <v>459</v>
      </c>
      <c r="E6" s="677" t="s">
        <v>460</v>
      </c>
      <c r="F6" s="668" t="b">
        <f>IF('Звіт   4,5,6'!E30=0,"Дані не введено",IF(AND(I7=J7,G7=H7),TRUE))</f>
        <v>1</v>
      </c>
      <c r="G6" s="570" t="s">
        <v>461</v>
      </c>
      <c r="H6" s="570" t="s">
        <v>462</v>
      </c>
      <c r="I6" s="570" t="s">
        <v>463</v>
      </c>
      <c r="J6" s="571" t="s">
        <v>464</v>
      </c>
    </row>
    <row r="7" spans="1:18" ht="29.1" customHeight="1" thickBot="1" x14ac:dyDescent="0.35">
      <c r="A7" s="292">
        <v>1</v>
      </c>
      <c r="B7" s="693"/>
      <c r="C7" s="747"/>
      <c r="D7" s="665"/>
      <c r="E7" s="733"/>
      <c r="F7" s="669"/>
      <c r="G7" s="383">
        <f>ROUND('Звіт   9'!G42,0)</f>
        <v>6764</v>
      </c>
      <c r="H7" s="383">
        <f>ROUND('Звіт   9'!G79,0)</f>
        <v>6764</v>
      </c>
      <c r="I7" s="383">
        <f>ROUND('Звіт   9'!J42,0)</f>
        <v>6918</v>
      </c>
      <c r="J7" s="583">
        <f>ROUND('Звіт   9'!J79,0)</f>
        <v>6918</v>
      </c>
    </row>
    <row r="8" spans="1:18" ht="41.1" customHeight="1" thickBot="1" x14ac:dyDescent="0.35">
      <c r="A8" s="292"/>
      <c r="B8" s="624" t="s">
        <v>665</v>
      </c>
      <c r="C8" s="625" t="s">
        <v>610</v>
      </c>
      <c r="D8" s="605" t="s">
        <v>459</v>
      </c>
      <c r="E8" s="604" t="s">
        <v>460</v>
      </c>
      <c r="F8" s="626" t="b">
        <f>IF('Звіт   4,5,6'!E30=0,"Дані не введено",IF(('Звіт   9'!J42+'Звіт   9'!J79)&gt;0,TRUE,"Увага, баланс не дороблено"))</f>
        <v>1</v>
      </c>
      <c r="G8" s="582"/>
      <c r="H8" s="582"/>
      <c r="I8" s="582"/>
      <c r="J8" s="582"/>
    </row>
    <row r="9" spans="1:18" ht="30" customHeight="1" x14ac:dyDescent="0.3">
      <c r="A9" s="292"/>
      <c r="B9" s="658" t="s">
        <v>627</v>
      </c>
      <c r="C9" s="660" t="s">
        <v>511</v>
      </c>
      <c r="D9" s="664" t="s">
        <v>459</v>
      </c>
      <c r="E9" s="677" t="s">
        <v>460</v>
      </c>
      <c r="F9" s="668" t="b">
        <f>IF('Звіт   4,5,6'!E30=0,"Дані не введено",IF(J10=K10,TRUE,FALSE))</f>
        <v>1</v>
      </c>
      <c r="G9" s="384" t="s">
        <v>498</v>
      </c>
      <c r="H9" s="385" t="s">
        <v>465</v>
      </c>
      <c r="I9" s="385" t="s">
        <v>466</v>
      </c>
      <c r="J9" s="384" t="s">
        <v>621</v>
      </c>
      <c r="K9" s="384" t="s">
        <v>499</v>
      </c>
      <c r="L9" s="386" t="s">
        <v>467</v>
      </c>
    </row>
    <row r="10" spans="1:18" ht="22.35" customHeight="1" thickBot="1" x14ac:dyDescent="0.35">
      <c r="A10" s="292">
        <v>2</v>
      </c>
      <c r="B10" s="700"/>
      <c r="C10" s="748"/>
      <c r="D10" s="676"/>
      <c r="E10" s="671"/>
      <c r="F10" s="681"/>
      <c r="G10" s="627">
        <f>ROUND('Звіт   9'!G26,1)</f>
        <v>257.7</v>
      </c>
      <c r="H10" s="628">
        <f>ROUND('Звіт 1,2,3'!G17/1000,1)</f>
        <v>80.7</v>
      </c>
      <c r="I10" s="629">
        <f>ROUND(('Звіт   4,5,6'!E34+'Звіт   4,5,6'!E40+'Звіт   4,5,6'!E41+'Звіт   4,5,6'!E42+'Звіт   4,5,6'!E43+'Звіт   4,5,6'!E45+'Звіт   4,5,6'!E46+'Звіт   4,5,6'!E47+'Звіт   4,5,6'!E48+'Звіт   4,5,6'!E56)/1000,1)</f>
        <v>119.5</v>
      </c>
      <c r="J10" s="396">
        <f>ROUND((G10+H10-I10),1)</f>
        <v>218.9</v>
      </c>
      <c r="K10" s="396">
        <f>ROUND('Звіт   9'!J26,1)</f>
        <v>218.9</v>
      </c>
      <c r="L10" s="630">
        <f>K10-J10</f>
        <v>0</v>
      </c>
      <c r="P10" s="290"/>
    </row>
    <row r="11" spans="1:18" ht="35.450000000000003" customHeight="1" x14ac:dyDescent="0.3">
      <c r="A11" s="292"/>
      <c r="B11" s="658" t="s">
        <v>628</v>
      </c>
      <c r="C11" s="662" t="s">
        <v>624</v>
      </c>
      <c r="D11" s="664" t="s">
        <v>459</v>
      </c>
      <c r="E11" s="666" t="s">
        <v>473</v>
      </c>
      <c r="F11" s="668" t="b">
        <f>IF('Звіт   4,5,6'!E30=0,"Дані не введено",IF(J12=M12,TRUE, FALSE))</f>
        <v>1</v>
      </c>
      <c r="G11" s="602" t="s">
        <v>469</v>
      </c>
      <c r="H11" s="602" t="s">
        <v>470</v>
      </c>
      <c r="I11" s="379" t="s">
        <v>528</v>
      </c>
      <c r="J11" s="387" t="s">
        <v>467</v>
      </c>
      <c r="K11" s="385" t="s">
        <v>471</v>
      </c>
      <c r="L11" s="388" t="s">
        <v>472</v>
      </c>
      <c r="M11" s="386" t="s">
        <v>467</v>
      </c>
      <c r="N11" s="403"/>
      <c r="O11" s="403"/>
      <c r="P11" s="290"/>
      <c r="Q11" s="290"/>
      <c r="R11" s="290"/>
    </row>
    <row r="12" spans="1:18" ht="29.45" customHeight="1" thickBot="1" x14ac:dyDescent="0.35">
      <c r="A12" s="292">
        <v>10</v>
      </c>
      <c r="B12" s="659"/>
      <c r="C12" s="663"/>
      <c r="D12" s="665"/>
      <c r="E12" s="667"/>
      <c r="F12" s="669"/>
      <c r="G12" s="389">
        <f>ROUND(('Звіт   9'!G50),1)</f>
        <v>441.3</v>
      </c>
      <c r="H12" s="389">
        <f>ROUND('Звіт   9'!J50,1)</f>
        <v>360.6</v>
      </c>
      <c r="I12" s="380">
        <f>ROUND('Звіт   4,5,6'!L17/1000,1)</f>
        <v>0</v>
      </c>
      <c r="J12" s="390">
        <f>ROUND((H12-G12-I12),0)</f>
        <v>-81</v>
      </c>
      <c r="K12" s="389">
        <f>ROUND(('Звіт   4,5,6'!H7/1000),1)</f>
        <v>2401.1</v>
      </c>
      <c r="L12" s="389">
        <f>ROUND('Звіт   4,5,6'!G85/1000,1)</f>
        <v>2482</v>
      </c>
      <c r="M12" s="631">
        <f>ROUND((K12-L12),0)</f>
        <v>-81</v>
      </c>
      <c r="N12" s="391"/>
      <c r="O12" s="391"/>
      <c r="P12" s="316"/>
      <c r="Q12" s="290"/>
      <c r="R12" s="290"/>
    </row>
    <row r="13" spans="1:18" ht="33.6" customHeight="1" x14ac:dyDescent="0.3">
      <c r="A13" s="292"/>
      <c r="B13" s="749" t="s">
        <v>666</v>
      </c>
      <c r="C13" s="717" t="s">
        <v>675</v>
      </c>
      <c r="D13" s="751" t="s">
        <v>459</v>
      </c>
      <c r="E13" s="751" t="s">
        <v>460</v>
      </c>
      <c r="F13" s="753" t="b">
        <f>IF('Звіт   4,5,6'!E30=0,"Дані не введено",IF(AND(H14&gt;0,I14&lt;=0),FALSE,TRUE))</f>
        <v>1</v>
      </c>
      <c r="G13" s="576" t="s">
        <v>526</v>
      </c>
      <c r="H13" s="576" t="s">
        <v>527</v>
      </c>
      <c r="I13" s="608" t="s">
        <v>528</v>
      </c>
      <c r="J13" s="710"/>
      <c r="K13" s="710"/>
      <c r="M13" s="538"/>
      <c r="N13" s="618"/>
      <c r="O13" s="618"/>
      <c r="P13" s="535"/>
    </row>
    <row r="14" spans="1:18" ht="33.6" customHeight="1" thickBot="1" x14ac:dyDescent="0.35">
      <c r="A14" s="292"/>
      <c r="B14" s="750"/>
      <c r="C14" s="718"/>
      <c r="D14" s="752"/>
      <c r="E14" s="752"/>
      <c r="F14" s="754"/>
      <c r="G14" s="632">
        <f>'Звіт   9'!J47</f>
        <v>0</v>
      </c>
      <c r="H14" s="632">
        <f>'Звіт   9'!G47</f>
        <v>0</v>
      </c>
      <c r="I14" s="381">
        <f>ROUND('Звіт   4,5,6'!L17/1000,1)</f>
        <v>0</v>
      </c>
      <c r="J14" s="710"/>
      <c r="K14" s="710"/>
      <c r="M14" s="538"/>
      <c r="N14" s="538"/>
      <c r="O14" s="538"/>
      <c r="P14" s="535"/>
    </row>
    <row r="15" spans="1:18" ht="48" customHeight="1" thickBot="1" x14ac:dyDescent="0.35">
      <c r="A15" s="292"/>
      <c r="B15" s="584" t="s">
        <v>667</v>
      </c>
      <c r="C15" s="585" t="s">
        <v>608</v>
      </c>
      <c r="D15" s="572" t="s">
        <v>459</v>
      </c>
      <c r="E15" s="569" t="s">
        <v>460</v>
      </c>
      <c r="F15" s="586" t="b">
        <f>IF('Звіт   4,5,6'!E30=0,"Дані не введено",IF('Звіт   9'!G50&gt;(-300),TRUE,FALSE))</f>
        <v>1</v>
      </c>
      <c r="G15" s="537"/>
      <c r="H15" s="537"/>
      <c r="I15" s="536"/>
      <c r="J15" s="391"/>
      <c r="K15" s="391"/>
      <c r="L15" s="391"/>
      <c r="M15" s="391"/>
      <c r="N15" s="391"/>
      <c r="O15" s="391"/>
      <c r="P15" s="316"/>
      <c r="Q15" s="290"/>
      <c r="R15" s="290"/>
    </row>
    <row r="16" spans="1:18" ht="39" customHeight="1" thickBot="1" x14ac:dyDescent="0.35">
      <c r="A16" s="292"/>
      <c r="B16" s="445"/>
      <c r="C16" s="607" t="s">
        <v>683</v>
      </c>
      <c r="D16" s="756" t="s">
        <v>521</v>
      </c>
      <c r="E16" s="757"/>
      <c r="F16" s="612">
        <v>0</v>
      </c>
      <c r="G16" s="709"/>
      <c r="H16" s="709"/>
      <c r="I16" s="577"/>
      <c r="J16" s="391"/>
      <c r="K16" s="391"/>
      <c r="L16" s="391"/>
      <c r="M16" s="392"/>
      <c r="N16" s="392"/>
      <c r="O16" s="392"/>
      <c r="P16" s="316"/>
      <c r="Q16" s="290"/>
      <c r="R16" s="290"/>
    </row>
    <row r="17" spans="1:18" ht="78" customHeight="1" x14ac:dyDescent="0.3">
      <c r="A17" s="292"/>
      <c r="B17" s="658" t="s">
        <v>629</v>
      </c>
      <c r="C17" s="682" t="s">
        <v>676</v>
      </c>
      <c r="D17" s="664" t="str">
        <f>IF(I16=1,"Достатня","Необхідна")</f>
        <v>Необхідна</v>
      </c>
      <c r="E17" s="758" t="s">
        <v>473</v>
      </c>
      <c r="F17" s="668" t="b">
        <f>IF('Звіт   4,5,6'!E30=0,"Дані не введено",IF(AND(L18&lt;&gt;0,F16=0),FALSE,IF(AND(L18&lt;&gt;0,F16=1),"Увага",IF(AND(L18=0),TRUE,FALSE))))</f>
        <v>1</v>
      </c>
      <c r="G17" s="576" t="s">
        <v>512</v>
      </c>
      <c r="H17" s="576" t="s">
        <v>500</v>
      </c>
      <c r="I17" s="598" t="s">
        <v>677</v>
      </c>
      <c r="J17" s="406" t="s">
        <v>682</v>
      </c>
      <c r="K17" s="384" t="s">
        <v>513</v>
      </c>
      <c r="L17" s="393" t="s">
        <v>467</v>
      </c>
      <c r="M17" s="392"/>
      <c r="N17" s="392"/>
      <c r="O17" s="392"/>
      <c r="P17" s="316"/>
      <c r="Q17" s="290"/>
      <c r="R17" s="290"/>
    </row>
    <row r="18" spans="1:18" ht="31.35" customHeight="1" thickBot="1" x14ac:dyDescent="0.35">
      <c r="A18" s="292">
        <v>12</v>
      </c>
      <c r="B18" s="659"/>
      <c r="C18" s="683"/>
      <c r="D18" s="665"/>
      <c r="E18" s="759"/>
      <c r="F18" s="669"/>
      <c r="G18" s="389">
        <f>'Звіт   9'!G12</f>
        <v>0</v>
      </c>
      <c r="H18" s="389">
        <f>'Звіт 1,2,3'!G55/1000</f>
        <v>0</v>
      </c>
      <c r="I18" s="606">
        <f>'Звіт   9'!J10-'Звіт   9'!G10+'Звіт   9'!J14-'Звіт   9'!G14</f>
        <v>0</v>
      </c>
      <c r="J18" s="389">
        <f>ROUND((G18+H18-I18),1)</f>
        <v>0</v>
      </c>
      <c r="K18" s="389">
        <f>ROUND('Звіт   9'!J12,1)</f>
        <v>0</v>
      </c>
      <c r="L18" s="394">
        <f>J18-K18</f>
        <v>0</v>
      </c>
    </row>
    <row r="19" spans="1:18" ht="45" customHeight="1" x14ac:dyDescent="0.3">
      <c r="A19" s="292"/>
      <c r="B19" s="672" t="s">
        <v>630</v>
      </c>
      <c r="C19" s="721" t="s">
        <v>514</v>
      </c>
      <c r="D19" s="684" t="s">
        <v>520</v>
      </c>
      <c r="E19" s="685" t="s">
        <v>473</v>
      </c>
      <c r="F19" s="738" t="b">
        <f>IF('Звіт   4,5,6'!E30=0,"Дані не введено",IF(AND(K20&lt;&gt;0,F16=0),FALSE,IF(AND(K20&lt;&gt;0,F16=1),"Увага",IF(AND(K20=0),TRUE,FALSE))))</f>
        <v>1</v>
      </c>
      <c r="G19" s="459" t="s">
        <v>501</v>
      </c>
      <c r="H19" s="459" t="s">
        <v>502</v>
      </c>
      <c r="I19" s="459" t="s">
        <v>684</v>
      </c>
      <c r="J19" s="459" t="s">
        <v>474</v>
      </c>
      <c r="K19" s="395" t="s">
        <v>467</v>
      </c>
      <c r="L19" s="31"/>
    </row>
    <row r="20" spans="1:18" ht="27" customHeight="1" thickBot="1" x14ac:dyDescent="0.35">
      <c r="A20" s="292">
        <v>13</v>
      </c>
      <c r="B20" s="693"/>
      <c r="C20" s="722"/>
      <c r="D20" s="676"/>
      <c r="E20" s="704"/>
      <c r="F20" s="681"/>
      <c r="G20" s="396">
        <f>ROUND(('Звіт   9'!J11+'Звіт   9'!J15),1)</f>
        <v>-6317.4</v>
      </c>
      <c r="H20" s="396">
        <f>ROUND(('Звіт   9'!G11+'Звіт   9'!G15),1)</f>
        <v>-6158.5</v>
      </c>
      <c r="I20" s="396">
        <f>ROUND((G20-H20),1)</f>
        <v>-158.9</v>
      </c>
      <c r="J20" s="383">
        <f>ROUND('Звіт   4,5,6'!E78/1000,1)</f>
        <v>158.9</v>
      </c>
      <c r="K20" s="397">
        <f>J20+I20</f>
        <v>0</v>
      </c>
      <c r="L20" s="31"/>
    </row>
    <row r="21" spans="1:18" ht="37.35" customHeight="1" x14ac:dyDescent="0.3">
      <c r="A21" s="292"/>
      <c r="B21" s="658" t="s">
        <v>631</v>
      </c>
      <c r="C21" s="719" t="s">
        <v>475</v>
      </c>
      <c r="D21" s="664" t="s">
        <v>459</v>
      </c>
      <c r="E21" s="677" t="s">
        <v>468</v>
      </c>
      <c r="F21" s="656" t="b">
        <f>IF('Звіт   4,5,6'!E30=0,"Дані не введено",IF(AND(G22&gt;H22,I22&gt;0),TRUE))</f>
        <v>1</v>
      </c>
      <c r="G21" s="384" t="s">
        <v>503</v>
      </c>
      <c r="H21" s="384" t="s">
        <v>504</v>
      </c>
      <c r="I21" s="398" t="s">
        <v>474</v>
      </c>
      <c r="J21" s="399"/>
      <c r="K21" s="400"/>
      <c r="L21" s="400"/>
      <c r="M21" s="64"/>
      <c r="N21" s="64"/>
      <c r="O21" s="64"/>
    </row>
    <row r="22" spans="1:18" ht="28.35" customHeight="1" thickBot="1" x14ac:dyDescent="0.35">
      <c r="A22" s="292"/>
      <c r="B22" s="659"/>
      <c r="C22" s="720"/>
      <c r="D22" s="665"/>
      <c r="E22" s="733"/>
      <c r="F22" s="657"/>
      <c r="G22" s="401">
        <f>'Звіт   9'!G10+'Звіт   9'!G14</f>
        <v>12305.7</v>
      </c>
      <c r="H22" s="401">
        <f>-('Звіт   9'!G11+'Звіт   9'!G15)</f>
        <v>6158.5</v>
      </c>
      <c r="I22" s="402">
        <f>'Звіт   4,5,6'!E78/1000</f>
        <v>158.90600000000001</v>
      </c>
      <c r="J22" s="403"/>
      <c r="K22" s="400"/>
      <c r="L22" s="400"/>
      <c r="M22" s="581"/>
      <c r="N22" s="581"/>
      <c r="O22" s="581"/>
    </row>
    <row r="23" spans="1:18" ht="23.25" customHeight="1" thickBot="1" x14ac:dyDescent="0.35">
      <c r="A23" s="292"/>
      <c r="B23" s="404"/>
      <c r="C23" s="323" t="s">
        <v>476</v>
      </c>
      <c r="D23" s="293"/>
      <c r="E23" s="294"/>
      <c r="F23" s="392"/>
      <c r="G23" s="690"/>
      <c r="H23" s="690"/>
      <c r="I23" s="690"/>
      <c r="J23" s="690"/>
      <c r="K23" s="690"/>
      <c r="L23" s="405"/>
      <c r="M23" s="690"/>
      <c r="N23" s="690"/>
      <c r="O23" s="690"/>
      <c r="P23" s="690"/>
      <c r="Q23" s="690"/>
      <c r="R23" s="690"/>
    </row>
    <row r="24" spans="1:18" ht="60" customHeight="1" thickBot="1" x14ac:dyDescent="0.35">
      <c r="A24" s="292"/>
      <c r="B24" s="540" t="s">
        <v>668</v>
      </c>
      <c r="C24" s="539" t="s">
        <v>614</v>
      </c>
      <c r="D24" s="320" t="s">
        <v>459</v>
      </c>
      <c r="E24" s="321" t="s">
        <v>460</v>
      </c>
      <c r="F24" s="321" t="b">
        <f>IF('Звіт   4,5,6'!E30=0,"Дані не введено",IF(('Звіт 1,2,3'!K16+'Звіт 1,2,3'!M16+'Звіт 1,2,3'!O16+'Звіт 1,2,3'!Q16)/1000=0,FALSE,IF(K24=FALSE,FALSE,TRUE)))</f>
        <v>1</v>
      </c>
      <c r="G24" s="642" t="b">
        <f>IF(AND(N26&gt;0,M26&lt;N26),FALSE,IF(M26/IF(N26=0,1,N26)&gt;1.2,FALSE,IF(AND(Q26&gt;0,P26&lt;Q26),FALSE,IF(P26/IF(Q26=0,1,Q26)&gt;1.2,FALSE,TRUE))))</f>
        <v>1</v>
      </c>
      <c r="H24" s="643">
        <f>COUNTIF('Звіт 1,2,3'!F16:T32,"&lt;0")</f>
        <v>0</v>
      </c>
      <c r="I24" s="643">
        <f>COUNTIF('Звіт 1,2,3'!I57:T67,"&lt;0")</f>
        <v>0</v>
      </c>
      <c r="J24" s="644">
        <f>COUNTIF('Звіт 1,2,3'!J37:J43,"&lt;0")</f>
        <v>0</v>
      </c>
      <c r="K24" s="643" t="b">
        <f>IF(OR(H24&gt;=1,I24&gt;=1,J24&gt;=1),FALSE,TRUE)</f>
        <v>1</v>
      </c>
      <c r="L24" s="405"/>
      <c r="M24" s="687" t="s">
        <v>613</v>
      </c>
      <c r="N24" s="688"/>
      <c r="O24" s="688"/>
      <c r="P24" s="688"/>
      <c r="Q24" s="688"/>
      <c r="R24" s="689"/>
    </row>
    <row r="25" spans="1:18" s="296" customFormat="1" ht="54" customHeight="1" x14ac:dyDescent="0.3">
      <c r="A25" s="295"/>
      <c r="B25" s="672" t="s">
        <v>632</v>
      </c>
      <c r="C25" s="679" t="s">
        <v>672</v>
      </c>
      <c r="D25" s="684" t="s">
        <v>459</v>
      </c>
      <c r="E25" s="685" t="s">
        <v>468</v>
      </c>
      <c r="F25" s="708" t="b">
        <f>IF('Звіт   4,5,6'!E30=0,"Дані не введено",IF(AND(H26&gt;0,G26&lt;H26),FALSE,IF(G26/IF(H26=0,1,H26)&gt;1.2,FALSE,IF(AND(K26&gt;0,J26&lt;K26),FALSE,IF(J26/IF(K26=0,1,K26)&gt;1.2,FALSE,IF(OR(G24=FALSE,F24=FALSE),FALSE,TRUE))))))</f>
        <v>1</v>
      </c>
      <c r="G25" s="406" t="s">
        <v>477</v>
      </c>
      <c r="H25" s="406" t="s">
        <v>478</v>
      </c>
      <c r="I25" s="387" t="s">
        <v>467</v>
      </c>
      <c r="J25" s="406" t="s">
        <v>479</v>
      </c>
      <c r="K25" s="406" t="s">
        <v>480</v>
      </c>
      <c r="L25" s="477" t="s">
        <v>467</v>
      </c>
      <c r="M25" s="468" t="s">
        <v>477</v>
      </c>
      <c r="N25" s="467" t="s">
        <v>478</v>
      </c>
      <c r="O25" s="481" t="s">
        <v>467</v>
      </c>
      <c r="P25" s="467" t="s">
        <v>479</v>
      </c>
      <c r="Q25" s="467" t="s">
        <v>480</v>
      </c>
      <c r="R25" s="483" t="s">
        <v>467</v>
      </c>
    </row>
    <row r="26" spans="1:18" s="296" customFormat="1" ht="22.35" customHeight="1" thickBot="1" x14ac:dyDescent="0.35">
      <c r="A26" s="295"/>
      <c r="B26" s="678"/>
      <c r="C26" s="691"/>
      <c r="D26" s="676"/>
      <c r="E26" s="667"/>
      <c r="F26" s="657"/>
      <c r="G26" s="401">
        <f>'Звіт 1,2,3'!M16/1000</f>
        <v>58.96828</v>
      </c>
      <c r="H26" s="401">
        <f>('Звіт 1,2,3'!M17+'Звіт 1,2,3'!M55)/1000</f>
        <v>58.96828</v>
      </c>
      <c r="I26" s="407">
        <f>H26-G26</f>
        <v>0</v>
      </c>
      <c r="J26" s="408">
        <f>'Звіт 1,2,3'!Q16/1000</f>
        <v>0</v>
      </c>
      <c r="K26" s="408">
        <f>('Звіт 1,2,3'!Q17+'Звіт 1,2,3'!Q55)/1000</f>
        <v>0</v>
      </c>
      <c r="L26" s="478">
        <f>J26-K26</f>
        <v>0</v>
      </c>
      <c r="M26" s="484">
        <f>'Звіт 1,2,3'!N16/1000</f>
        <v>0</v>
      </c>
      <c r="N26" s="437">
        <f>('Звіт 1,2,3'!N17+'Звіт 1,2,3'!N55)/1000</f>
        <v>0</v>
      </c>
      <c r="O26" s="481">
        <f>N26-M26</f>
        <v>0</v>
      </c>
      <c r="P26" s="482">
        <f>'Звіт 1,2,3'!R16/1000</f>
        <v>0</v>
      </c>
      <c r="Q26" s="482">
        <f>('Звіт 1,2,3'!R17+'Звіт 1,2,3'!R55)/1000</f>
        <v>0</v>
      </c>
      <c r="R26" s="485">
        <f>P26-Q26</f>
        <v>0</v>
      </c>
    </row>
    <row r="27" spans="1:18" s="296" customFormat="1" ht="45" customHeight="1" x14ac:dyDescent="0.3">
      <c r="A27" s="295"/>
      <c r="B27" s="678" t="s">
        <v>633</v>
      </c>
      <c r="C27" s="679" t="s">
        <v>481</v>
      </c>
      <c r="D27" s="664" t="s">
        <v>459</v>
      </c>
      <c r="E27" s="670" t="s">
        <v>468</v>
      </c>
      <c r="F27" s="656" t="b">
        <f>IF('Звіт   4,5,6'!E30=0,"Дані не введено",IF(OR((I28+L28+O28+R28)&gt;=0,-(I28+L28+O28+R28)&lt;'Звіт   9'!G59),IF(F24=TRUE,TRUE,FALSE)))</f>
        <v>1</v>
      </c>
      <c r="G27" s="409" t="s">
        <v>482</v>
      </c>
      <c r="H27" s="409" t="s">
        <v>478</v>
      </c>
      <c r="I27" s="410" t="s">
        <v>467</v>
      </c>
      <c r="J27" s="409" t="s">
        <v>483</v>
      </c>
      <c r="K27" s="409" t="s">
        <v>480</v>
      </c>
      <c r="L27" s="479" t="s">
        <v>467</v>
      </c>
      <c r="M27" s="468" t="s">
        <v>482</v>
      </c>
      <c r="N27" s="467" t="s">
        <v>478</v>
      </c>
      <c r="O27" s="481" t="s">
        <v>467</v>
      </c>
      <c r="P27" s="467" t="s">
        <v>483</v>
      </c>
      <c r="Q27" s="467" t="s">
        <v>480</v>
      </c>
      <c r="R27" s="483" t="s">
        <v>467</v>
      </c>
    </row>
    <row r="28" spans="1:18" s="296" customFormat="1" ht="24.6" customHeight="1" thickBot="1" x14ac:dyDescent="0.35">
      <c r="A28" s="295"/>
      <c r="B28" s="673"/>
      <c r="C28" s="680"/>
      <c r="D28" s="676"/>
      <c r="E28" s="671"/>
      <c r="F28" s="657"/>
      <c r="G28" s="411">
        <f>'Звіт 1,2,3'!K16/1000</f>
        <v>0</v>
      </c>
      <c r="H28" s="411">
        <f>('Звіт 1,2,3'!K17+'Звіт 1,2,3'!K55)/1000</f>
        <v>0</v>
      </c>
      <c r="I28" s="412">
        <f>G28-H28</f>
        <v>0</v>
      </c>
      <c r="J28" s="401">
        <f>'Звіт 1,2,3'!O16/1000</f>
        <v>497.40262999999999</v>
      </c>
      <c r="K28" s="401">
        <f>('Звіт 1,2,3'!O17+'Звіт 1,2,3'!O55)/1000</f>
        <v>0</v>
      </c>
      <c r="L28" s="480">
        <f>J28-K28</f>
        <v>497.40262999999999</v>
      </c>
      <c r="M28" s="486">
        <f>'Звіт 1,2,3'!L16</f>
        <v>0</v>
      </c>
      <c r="N28" s="401">
        <f>'Звіт 1,2,3'!L17+'Звіт 1,2,3'!L55</f>
        <v>0</v>
      </c>
      <c r="O28" s="407">
        <f>M28-N28</f>
        <v>0</v>
      </c>
      <c r="P28" s="401">
        <f>'Звіт 1,2,3'!P16/1000</f>
        <v>204.4</v>
      </c>
      <c r="Q28" s="401">
        <f>('Звіт 1,2,3'!P17+'Звіт 1,2,3'!P55)/1000</f>
        <v>63.799199999999999</v>
      </c>
      <c r="R28" s="413">
        <f>P28-Q28</f>
        <v>140.60079999999999</v>
      </c>
    </row>
    <row r="29" spans="1:18" s="296" customFormat="1" ht="44.45" customHeight="1" x14ac:dyDescent="0.3">
      <c r="A29" s="295"/>
      <c r="B29" s="672" t="s">
        <v>634</v>
      </c>
      <c r="C29" s="674" t="s">
        <v>730</v>
      </c>
      <c r="D29" s="664" t="s">
        <v>459</v>
      </c>
      <c r="E29" s="677" t="s">
        <v>468</v>
      </c>
      <c r="F29" s="668" t="b">
        <f>IF('Звіт   4,5,6'!E30=0,"Дані не введено",IF(G30&gt;=H30,IF(F24=TRUE,TRUE,FALSE)))</f>
        <v>1</v>
      </c>
      <c r="G29" s="406" t="s">
        <v>525</v>
      </c>
      <c r="H29" s="406" t="s">
        <v>603</v>
      </c>
      <c r="I29" s="386" t="s">
        <v>467</v>
      </c>
      <c r="J29" s="403"/>
      <c r="K29" s="403"/>
      <c r="L29" s="403"/>
      <c r="M29" s="403"/>
      <c r="N29" s="403"/>
      <c r="O29" s="403"/>
    </row>
    <row r="30" spans="1:18" s="296" customFormat="1" ht="30" customHeight="1" thickBot="1" x14ac:dyDescent="0.35">
      <c r="A30" s="295"/>
      <c r="B30" s="673"/>
      <c r="C30" s="675"/>
      <c r="D30" s="676"/>
      <c r="E30" s="671"/>
      <c r="F30" s="681"/>
      <c r="G30" s="420">
        <f>ROUND('Звіт 1,2,3'!S16/1000,1)</f>
        <v>7.2</v>
      </c>
      <c r="H30" s="414">
        <f>ROUND(('Звіт 1,2,3'!S55+'Звіт 1,2,3'!S17)/1000,1)</f>
        <v>1.4</v>
      </c>
      <c r="I30" s="415">
        <f>G30-H30</f>
        <v>5.8000000000000007</v>
      </c>
      <c r="J30" s="403"/>
      <c r="K30" s="403"/>
      <c r="L30" s="403"/>
      <c r="M30" s="403"/>
      <c r="N30" s="403"/>
      <c r="O30" s="403"/>
    </row>
    <row r="31" spans="1:18" s="296" customFormat="1" ht="40.35" customHeight="1" thickBot="1" x14ac:dyDescent="0.35">
      <c r="A31" s="295"/>
      <c r="B31" s="568" t="s">
        <v>635</v>
      </c>
      <c r="C31" s="446" t="s">
        <v>485</v>
      </c>
      <c r="D31" s="297" t="s">
        <v>459</v>
      </c>
      <c r="E31" s="298" t="s">
        <v>460</v>
      </c>
      <c r="F31" s="447" t="b">
        <f>IF('Звіт   4,5,6'!E30=0,"Дані не введено",IF(G31&gt;0,TRUE))</f>
        <v>1</v>
      </c>
      <c r="G31" s="418">
        <f>'Звіт 1,2,3'!I16/1000</f>
        <v>1474.3142600000001</v>
      </c>
      <c r="H31" s="403"/>
      <c r="I31" s="403"/>
      <c r="J31" s="403"/>
      <c r="K31" s="416"/>
      <c r="L31" s="416"/>
      <c r="M31" s="416"/>
      <c r="N31" s="416"/>
      <c r="O31" s="416"/>
    </row>
    <row r="32" spans="1:18" s="296" customFormat="1" ht="40.35" customHeight="1" x14ac:dyDescent="0.3">
      <c r="A32" s="295"/>
      <c r="B32" s="692" t="s">
        <v>636</v>
      </c>
      <c r="C32" s="694" t="s">
        <v>486</v>
      </c>
      <c r="D32" s="684" t="s">
        <v>459</v>
      </c>
      <c r="E32" s="670" t="s">
        <v>468</v>
      </c>
      <c r="F32" s="734" t="b">
        <f>IF('Звіт   4,5,6'!E30=0,"Дані не введено",IF(G33&lt;&gt;H33,TRUE,"FALSE - це 203 субрахунок, комунальні послуги не враховує"))</f>
        <v>1</v>
      </c>
      <c r="G32" s="444" t="s">
        <v>487</v>
      </c>
      <c r="H32" s="442" t="s">
        <v>488</v>
      </c>
      <c r="I32" s="443" t="s">
        <v>529</v>
      </c>
      <c r="J32" s="403"/>
      <c r="K32" s="416"/>
      <c r="L32" s="416"/>
      <c r="M32" s="416"/>
      <c r="N32" s="416"/>
      <c r="O32" s="416"/>
    </row>
    <row r="33" spans="1:19" s="296" customFormat="1" ht="34.35" customHeight="1" thickBot="1" x14ac:dyDescent="0.35">
      <c r="A33" s="299"/>
      <c r="B33" s="693"/>
      <c r="C33" s="695"/>
      <c r="D33" s="665"/>
      <c r="E33" s="733"/>
      <c r="F33" s="735"/>
      <c r="G33" s="417">
        <f>ROUND('Звіт 1,2,3'!G26/1000,0)</f>
        <v>22</v>
      </c>
      <c r="H33" s="417">
        <f>ROUND('Звіт   4,5,6'!E44/1000,0)</f>
        <v>227</v>
      </c>
      <c r="I33" s="469">
        <f>G33*100/H33</f>
        <v>9.6916299559471373</v>
      </c>
      <c r="J33" s="403"/>
      <c r="K33" s="416"/>
      <c r="L33" s="416"/>
      <c r="M33" s="416"/>
      <c r="N33" s="416"/>
      <c r="O33" s="416"/>
    </row>
    <row r="34" spans="1:19" s="290" customFormat="1" ht="23.45" customHeight="1" thickBot="1" x14ac:dyDescent="0.35">
      <c r="A34" s="289"/>
      <c r="B34" s="382"/>
      <c r="C34" s="324" t="s">
        <v>489</v>
      </c>
      <c r="D34" s="300"/>
      <c r="E34" s="301"/>
      <c r="F34" s="392"/>
      <c r="G34" s="31"/>
      <c r="H34" s="31"/>
      <c r="I34" s="31"/>
      <c r="J34" s="392"/>
      <c r="K34" s="31"/>
      <c r="L34" s="31"/>
      <c r="M34" s="31"/>
      <c r="N34" s="31"/>
      <c r="O34" s="31"/>
    </row>
    <row r="35" spans="1:19" ht="38.1" customHeight="1" thickBot="1" x14ac:dyDescent="0.35">
      <c r="A35" s="291"/>
      <c r="B35" s="450" t="s">
        <v>637</v>
      </c>
      <c r="C35" s="461" t="s">
        <v>490</v>
      </c>
      <c r="D35" s="451" t="s">
        <v>459</v>
      </c>
      <c r="E35" s="462" t="s">
        <v>460</v>
      </c>
      <c r="F35" s="452" t="b">
        <f>IF('Звіт   4,5,6'!E30=0,"Дані не введено",IF(G35&gt;0,TRUE))</f>
        <v>1</v>
      </c>
      <c r="G35" s="453">
        <f>'Звіт   4,5,6'!H12/1000</f>
        <v>1474.3142600000001</v>
      </c>
      <c r="H35" s="31"/>
      <c r="I35" s="31"/>
      <c r="J35" s="392"/>
      <c r="K35" s="31"/>
      <c r="L35" s="31"/>
      <c r="M35" s="31"/>
      <c r="N35" s="31"/>
      <c r="O35" s="31"/>
    </row>
    <row r="36" spans="1:19" ht="33.6" customHeight="1" x14ac:dyDescent="0.3">
      <c r="A36" s="292"/>
      <c r="B36" s="658" t="s">
        <v>638</v>
      </c>
      <c r="C36" s="696" t="s">
        <v>491</v>
      </c>
      <c r="D36" s="664" t="s">
        <v>459</v>
      </c>
      <c r="E36" s="736" t="s">
        <v>460</v>
      </c>
      <c r="F36" s="656" t="b">
        <f>IF('Звіт   4,5,6'!E30=0,"Дані не введено",IF(G37&gt;=H37,TRUE))</f>
        <v>1</v>
      </c>
      <c r="G36" s="384" t="s">
        <v>515</v>
      </c>
      <c r="H36" s="398" t="s">
        <v>516</v>
      </c>
      <c r="I36" s="419"/>
      <c r="J36" s="419"/>
      <c r="K36" s="31"/>
      <c r="L36" s="31"/>
      <c r="M36" s="31"/>
      <c r="N36" s="31"/>
      <c r="O36" s="31"/>
    </row>
    <row r="37" spans="1:19" ht="23.1" customHeight="1" thickBot="1" x14ac:dyDescent="0.35">
      <c r="A37" s="292"/>
      <c r="B37" s="659"/>
      <c r="C37" s="697"/>
      <c r="D37" s="665"/>
      <c r="E37" s="737"/>
      <c r="F37" s="657"/>
      <c r="G37" s="414">
        <f>'Звіт   4,5,6'!H11/1000</f>
        <v>1474.3142600000001</v>
      </c>
      <c r="H37" s="425">
        <f>'Звіт   4,5,6'!H12/1000</f>
        <v>1474.3142600000001</v>
      </c>
      <c r="I37" s="419"/>
      <c r="J37" s="419"/>
      <c r="K37" s="31"/>
      <c r="L37" s="31"/>
      <c r="M37" s="31"/>
      <c r="N37" s="31"/>
      <c r="O37" s="31"/>
    </row>
    <row r="38" spans="1:19" ht="34.35" customHeight="1" x14ac:dyDescent="0.3">
      <c r="A38" s="289"/>
      <c r="B38" s="658" t="s">
        <v>639</v>
      </c>
      <c r="C38" s="698" t="s">
        <v>605</v>
      </c>
      <c r="D38" s="702" t="s">
        <v>520</v>
      </c>
      <c r="E38" s="666" t="s">
        <v>473</v>
      </c>
      <c r="F38" s="668" t="b">
        <f>IF('Звіт   4,5,6'!E30=0,"Дані не введено",IF(I39&gt;=0,TRUE, "Увага"))</f>
        <v>1</v>
      </c>
      <c r="G38" s="384" t="s">
        <v>471</v>
      </c>
      <c r="H38" s="384" t="s">
        <v>538</v>
      </c>
      <c r="I38" s="393" t="s">
        <v>467</v>
      </c>
      <c r="J38" s="419"/>
      <c r="K38" s="31"/>
      <c r="L38" s="31"/>
      <c r="M38" s="471" t="s">
        <v>542</v>
      </c>
      <c r="N38" s="471"/>
      <c r="O38" s="471"/>
    </row>
    <row r="39" spans="1:19" ht="24" customHeight="1" thickBot="1" x14ac:dyDescent="0.35">
      <c r="A39" s="289"/>
      <c r="B39" s="659"/>
      <c r="C39" s="699"/>
      <c r="D39" s="705"/>
      <c r="E39" s="667"/>
      <c r="F39" s="669"/>
      <c r="G39" s="414">
        <f>'Звіт   4,5,6'!H7/1000</f>
        <v>2401.1487200000001</v>
      </c>
      <c r="H39" s="414">
        <f>'Звіт   4,5,6'!E28/1000</f>
        <v>2323.1218799999997</v>
      </c>
      <c r="I39" s="422">
        <f>G39-H39</f>
        <v>78.026840000000448</v>
      </c>
      <c r="J39" s="419"/>
      <c r="K39" s="31"/>
      <c r="L39" s="31"/>
      <c r="M39" s="427"/>
      <c r="N39" s="427"/>
      <c r="O39" s="427"/>
    </row>
    <row r="40" spans="1:19" ht="45" customHeight="1" x14ac:dyDescent="0.3">
      <c r="A40" s="289"/>
      <c r="B40" s="658" t="s">
        <v>640</v>
      </c>
      <c r="C40" s="698" t="s">
        <v>604</v>
      </c>
      <c r="D40" s="702" t="s">
        <v>520</v>
      </c>
      <c r="E40" s="666" t="s">
        <v>473</v>
      </c>
      <c r="F40" s="668" t="str">
        <f>IF('Звіт   4,5,6'!E30=0,"Дані не введено",IF(I41&gt;=0,TRUE, "Увага"))</f>
        <v>Увага</v>
      </c>
      <c r="G40" s="384" t="s">
        <v>471</v>
      </c>
      <c r="H40" s="384" t="s">
        <v>537</v>
      </c>
      <c r="I40" s="393" t="s">
        <v>467</v>
      </c>
      <c r="J40" s="419"/>
      <c r="M40" s="427"/>
      <c r="N40" s="427"/>
      <c r="O40" s="427"/>
      <c r="R40" s="392"/>
      <c r="S40" s="316"/>
    </row>
    <row r="41" spans="1:19" ht="36" customHeight="1" thickBot="1" x14ac:dyDescent="0.35">
      <c r="A41" s="289"/>
      <c r="B41" s="700"/>
      <c r="C41" s="701"/>
      <c r="D41" s="703"/>
      <c r="E41" s="704"/>
      <c r="F41" s="681"/>
      <c r="G41" s="420">
        <f>G39</f>
        <v>2401.1487200000001</v>
      </c>
      <c r="H41" s="420">
        <f>'Звіт   4,5,6'!G85/1000</f>
        <v>2482.0278800000001</v>
      </c>
      <c r="I41" s="470">
        <f>G41-H41</f>
        <v>-80.879159999999956</v>
      </c>
      <c r="J41" s="419"/>
      <c r="M41" s="427"/>
      <c r="N41" s="623" t="s">
        <v>543</v>
      </c>
      <c r="O41" s="623" t="s">
        <v>544</v>
      </c>
      <c r="R41" s="472"/>
      <c r="S41" s="316"/>
    </row>
    <row r="42" spans="1:19" ht="131.44999999999999" customHeight="1" x14ac:dyDescent="0.3">
      <c r="A42" s="289"/>
      <c r="B42" s="658" t="s">
        <v>641</v>
      </c>
      <c r="C42" s="706" t="s">
        <v>545</v>
      </c>
      <c r="D42" s="664" t="s">
        <v>459</v>
      </c>
      <c r="E42" s="666" t="s">
        <v>460</v>
      </c>
      <c r="F42" s="668" t="b">
        <f>IF('Звіт   4,5,6'!E30=0,"Дані не введено",IF(OR(AND(K43=N43,M43&gt;0,L43=0)),TRUE,IF(AND(L43=O43,M43&lt;0,K43=0),TRUE,IF(AND(M43=0,K43=0,L43=0),TRUE,FALSE))))</f>
        <v>1</v>
      </c>
      <c r="G42" s="473" t="s">
        <v>540</v>
      </c>
      <c r="H42" s="473" t="s">
        <v>546</v>
      </c>
      <c r="I42" s="327" t="s">
        <v>547</v>
      </c>
      <c r="J42" s="327" t="s">
        <v>539</v>
      </c>
      <c r="K42" s="473" t="s">
        <v>602</v>
      </c>
      <c r="L42" s="327" t="s">
        <v>541</v>
      </c>
      <c r="M42" s="619" t="s">
        <v>548</v>
      </c>
      <c r="N42" s="620" t="s">
        <v>549</v>
      </c>
      <c r="O42" s="621" t="s">
        <v>550</v>
      </c>
      <c r="R42" s="316"/>
      <c r="S42" s="316"/>
    </row>
    <row r="43" spans="1:19" ht="62.45" customHeight="1" thickBot="1" x14ac:dyDescent="0.35">
      <c r="A43" s="289"/>
      <c r="B43" s="659"/>
      <c r="C43" s="707"/>
      <c r="D43" s="665"/>
      <c r="E43" s="667"/>
      <c r="F43" s="669"/>
      <c r="G43" s="414">
        <f>ROUND('Звіт   9'!G29,1)</f>
        <v>0</v>
      </c>
      <c r="H43" s="414">
        <f>ROUND('Звіт   4,5,6'!H12/1000,1)</f>
        <v>1474.3</v>
      </c>
      <c r="I43" s="414">
        <f>ROUND('Звіт   9'!G78,1)</f>
        <v>0</v>
      </c>
      <c r="J43" s="414">
        <f>ROUND('Дод_Надходж ПМГ '!E9/1000,1)</f>
        <v>1474.3</v>
      </c>
      <c r="K43" s="474">
        <f>ROUND('Звіт   9'!J29,1)</f>
        <v>0</v>
      </c>
      <c r="L43" s="474">
        <f>ROUND('Звіт   9'!J78,1)</f>
        <v>0</v>
      </c>
      <c r="M43" s="622">
        <f>G43+H43-I43-J43</f>
        <v>0</v>
      </c>
      <c r="N43" s="622" t="str">
        <f>IF(AND(M43&gt;0,L43=0),(G43+H43-I43-J43),"не застосовується")</f>
        <v>не застосовується</v>
      </c>
      <c r="O43" s="475" t="str">
        <f>IF(AND(M43&lt;0,K43=0),-(G43+H43-I43-J43),"не застосовується")</f>
        <v>не застосовується</v>
      </c>
      <c r="R43" s="316"/>
      <c r="S43" s="316"/>
    </row>
    <row r="44" spans="1:19" ht="23.1" customHeight="1" thickBot="1" x14ac:dyDescent="0.35">
      <c r="A44" s="289"/>
      <c r="B44" s="463"/>
      <c r="C44" s="325" t="s">
        <v>492</v>
      </c>
      <c r="D44" s="302"/>
      <c r="E44" s="448"/>
      <c r="F44" s="304"/>
      <c r="G44" s="423"/>
      <c r="H44" s="399"/>
      <c r="I44" s="419"/>
      <c r="J44" s="419"/>
      <c r="R44" s="392"/>
      <c r="S44" s="316"/>
    </row>
    <row r="45" spans="1:19" ht="23.1" customHeight="1" x14ac:dyDescent="0.3">
      <c r="A45" s="289"/>
      <c r="B45" s="658" t="s">
        <v>642</v>
      </c>
      <c r="C45" s="698" t="s">
        <v>493</v>
      </c>
      <c r="D45" s="664" t="s">
        <v>459</v>
      </c>
      <c r="E45" s="677" t="s">
        <v>460</v>
      </c>
      <c r="F45" s="656" t="b">
        <f>IF('Звіт   4,5,6'!E30=0,"Дані не введено",IF(G46&gt;0,H46&gt;=0.5*G46,TRUE))</f>
        <v>1</v>
      </c>
      <c r="G45" s="384" t="s">
        <v>494</v>
      </c>
      <c r="H45" s="424">
        <v>903</v>
      </c>
      <c r="I45" s="419"/>
      <c r="J45" s="419"/>
      <c r="R45" s="392"/>
      <c r="S45" s="316"/>
    </row>
    <row r="46" spans="1:19" ht="23.1" customHeight="1" thickBot="1" x14ac:dyDescent="0.35">
      <c r="A46" s="289"/>
      <c r="B46" s="700"/>
      <c r="C46" s="701"/>
      <c r="D46" s="676"/>
      <c r="E46" s="671"/>
      <c r="F46" s="708"/>
      <c r="G46" s="420">
        <f>'Звіт   4,5,6'!H12/1000</f>
        <v>1474.3142600000001</v>
      </c>
      <c r="H46" s="421">
        <f>'Звіт   4,5,6'!H29/1000</f>
        <v>1192.1572900000001</v>
      </c>
      <c r="I46" s="419"/>
      <c r="J46" s="419"/>
      <c r="R46" s="416"/>
      <c r="S46" s="316"/>
    </row>
    <row r="47" spans="1:19" ht="55.35" customHeight="1" x14ac:dyDescent="0.3">
      <c r="A47" s="289"/>
      <c r="B47" s="658" t="s">
        <v>643</v>
      </c>
      <c r="C47" s="698" t="s">
        <v>551</v>
      </c>
      <c r="D47" s="664" t="s">
        <v>459</v>
      </c>
      <c r="E47" s="677" t="s">
        <v>460</v>
      </c>
      <c r="F47" s="760" t="b">
        <f>IF('Звіт   4,5,6'!E30=0,"Дані не введено",IF(AND(H48&gt;=G48,J48&gt;=I48),TRUE,FALSE))</f>
        <v>1</v>
      </c>
      <c r="G47" s="384" t="s">
        <v>552</v>
      </c>
      <c r="H47" s="384" t="s">
        <v>553</v>
      </c>
      <c r="I47" s="384" t="s">
        <v>554</v>
      </c>
      <c r="J47" s="398" t="s">
        <v>555</v>
      </c>
      <c r="P47" s="31"/>
    </row>
    <row r="48" spans="1:19" ht="23.1" customHeight="1" thickBot="1" x14ac:dyDescent="0.35">
      <c r="A48" s="289"/>
      <c r="B48" s="659"/>
      <c r="C48" s="699"/>
      <c r="D48" s="665"/>
      <c r="E48" s="733"/>
      <c r="F48" s="761"/>
      <c r="G48" s="414">
        <f>'Звіт 1,2,3'!G24/1000</f>
        <v>0</v>
      </c>
      <c r="H48" s="414">
        <f>'Звіт 1,2,3'!G23/1000</f>
        <v>0</v>
      </c>
      <c r="I48" s="487">
        <f>'Звіт 1,2,3'!H24/1000</f>
        <v>63.799199999999999</v>
      </c>
      <c r="J48" s="488">
        <f>'Звіт 1,2,3'!H23/1000</f>
        <v>63.799199999999999</v>
      </c>
      <c r="K48" s="31"/>
    </row>
    <row r="49" spans="1:17" s="296" customFormat="1" ht="30" customHeight="1" thickBot="1" x14ac:dyDescent="0.35">
      <c r="A49" s="303"/>
      <c r="B49" s="426"/>
      <c r="C49" s="326" t="s">
        <v>495</v>
      </c>
      <c r="D49" s="302"/>
      <c r="E49" s="448"/>
      <c r="F49" s="304"/>
      <c r="G49" s="423"/>
      <c r="H49" s="403"/>
      <c r="I49" s="403"/>
      <c r="J49" s="403"/>
      <c r="K49" s="416"/>
      <c r="L49" s="416"/>
      <c r="M49" s="416"/>
      <c r="N49" s="416"/>
      <c r="O49" s="416"/>
    </row>
    <row r="50" spans="1:17" ht="55.35" customHeight="1" x14ac:dyDescent="0.3">
      <c r="A50" s="289"/>
      <c r="B50" s="658" t="s">
        <v>644</v>
      </c>
      <c r="C50" s="727" t="s">
        <v>573</v>
      </c>
      <c r="D50" s="664" t="s">
        <v>459</v>
      </c>
      <c r="E50" s="677" t="s">
        <v>468</v>
      </c>
      <c r="F50" s="668" t="b">
        <f>IF('Звіт   4,5,6'!E30=0,"Дані не введено",IF(I51=0,TRUE))</f>
        <v>1</v>
      </c>
      <c r="G50" s="384" t="s">
        <v>574</v>
      </c>
      <c r="H50" s="388" t="s">
        <v>496</v>
      </c>
      <c r="I50" s="393" t="s">
        <v>467</v>
      </c>
      <c r="J50" s="419"/>
      <c r="K50" s="427"/>
      <c r="L50" s="755"/>
      <c r="M50" s="755"/>
      <c r="N50" s="600"/>
      <c r="O50" s="600"/>
      <c r="P50" s="290"/>
      <c r="Q50" s="290"/>
    </row>
    <row r="51" spans="1:17" ht="32.1" customHeight="1" thickBot="1" x14ac:dyDescent="0.3">
      <c r="B51" s="659"/>
      <c r="C51" s="728"/>
      <c r="D51" s="665"/>
      <c r="E51" s="733"/>
      <c r="F51" s="669"/>
      <c r="G51" s="428">
        <f>ROUND(('Звіт   4,5,6'!E30+'Звіт   4,5,6'!K30)/1000,0)</f>
        <v>1587</v>
      </c>
      <c r="H51" s="428">
        <f>ROUND('Звіт  7,8'!H8/1000,0)</f>
        <v>1587</v>
      </c>
      <c r="I51" s="413">
        <f>H51-G51</f>
        <v>0</v>
      </c>
      <c r="J51" s="403"/>
      <c r="K51" s="31"/>
      <c r="L51" s="429"/>
      <c r="M51" s="429"/>
      <c r="N51" s="429"/>
      <c r="O51" s="429"/>
      <c r="P51" s="290"/>
      <c r="Q51" s="290"/>
    </row>
    <row r="52" spans="1:17" ht="32.1" customHeight="1" x14ac:dyDescent="0.25">
      <c r="B52" s="658" t="s">
        <v>645</v>
      </c>
      <c r="C52" s="727" t="s">
        <v>569</v>
      </c>
      <c r="D52" s="664" t="s">
        <v>459</v>
      </c>
      <c r="E52" s="677" t="s">
        <v>468</v>
      </c>
      <c r="F52" s="668" t="b">
        <f>IF('Звіт   4,5,6'!E30=0,"Дані не введено",IF(G53=0,H53&gt;0,TRUE))</f>
        <v>1</v>
      </c>
      <c r="G52" s="430" t="s">
        <v>506</v>
      </c>
      <c r="H52" s="398" t="s">
        <v>567</v>
      </c>
      <c r="I52" s="403"/>
      <c r="J52" s="403"/>
      <c r="K52" s="31"/>
      <c r="L52" s="429"/>
      <c r="M52" s="429"/>
      <c r="N52" s="429"/>
      <c r="O52" s="429"/>
      <c r="P52" s="290"/>
      <c r="Q52" s="290"/>
    </row>
    <row r="53" spans="1:17" ht="32.1" customHeight="1" thickBot="1" x14ac:dyDescent="0.3">
      <c r="B53" s="659"/>
      <c r="C53" s="728"/>
      <c r="D53" s="665"/>
      <c r="E53" s="733"/>
      <c r="F53" s="669"/>
      <c r="G53" s="428">
        <f>'Звіт  7,8'!N9/1000</f>
        <v>0</v>
      </c>
      <c r="H53" s="433">
        <f>'Звіт  7,8'!L9/1000</f>
        <v>70.707729999999998</v>
      </c>
      <c r="I53" s="403"/>
      <c r="J53" s="403"/>
      <c r="K53" s="31"/>
      <c r="L53" s="429"/>
      <c r="M53" s="429"/>
      <c r="N53" s="429"/>
      <c r="O53" s="429"/>
      <c r="P53" s="290"/>
      <c r="Q53" s="290"/>
    </row>
    <row r="54" spans="1:17" ht="32.1" customHeight="1" x14ac:dyDescent="0.25">
      <c r="B54" s="658" t="s">
        <v>646</v>
      </c>
      <c r="C54" s="727" t="s">
        <v>568</v>
      </c>
      <c r="D54" s="664" t="s">
        <v>459</v>
      </c>
      <c r="E54" s="677" t="s">
        <v>468</v>
      </c>
      <c r="F54" s="668" t="b">
        <f>IF('Звіт   4,5,6'!E30=0,"Дані не введено",IF(G55=0,H55&gt;0,TRUE))</f>
        <v>1</v>
      </c>
      <c r="G54" s="384" t="s">
        <v>508</v>
      </c>
      <c r="H54" s="398" t="s">
        <v>507</v>
      </c>
      <c r="I54" s="460"/>
      <c r="J54" s="460"/>
      <c r="K54" s="429"/>
      <c r="L54" s="429"/>
      <c r="M54" s="429"/>
      <c r="N54" s="429"/>
      <c r="O54" s="429"/>
    </row>
    <row r="55" spans="1:17" ht="24.6" customHeight="1" thickBot="1" x14ac:dyDescent="0.3">
      <c r="B55" s="659"/>
      <c r="C55" s="728"/>
      <c r="D55" s="665"/>
      <c r="E55" s="733"/>
      <c r="F55" s="669"/>
      <c r="G55" s="428">
        <f>'Звіт  7,8'!N11/1000</f>
        <v>0</v>
      </c>
      <c r="H55" s="433">
        <f>'Звіт  7,8'!L11/1000</f>
        <v>52.104589999999995</v>
      </c>
      <c r="I55" s="431"/>
      <c r="J55" s="431"/>
      <c r="K55" s="429"/>
      <c r="L55" s="429"/>
      <c r="M55" s="429"/>
      <c r="N55" s="429"/>
      <c r="O55" s="429"/>
    </row>
    <row r="56" spans="1:17" ht="32.1" customHeight="1" x14ac:dyDescent="0.25">
      <c r="B56" s="658" t="s">
        <v>647</v>
      </c>
      <c r="C56" s="727" t="s">
        <v>572</v>
      </c>
      <c r="D56" s="664" t="s">
        <v>459</v>
      </c>
      <c r="E56" s="677" t="s">
        <v>468</v>
      </c>
      <c r="F56" s="668" t="b">
        <f>IF('Звіт   4,5,6'!E30=0,"Дані не введено",IF(G57=0,H57&gt;0,TRUE))</f>
        <v>1</v>
      </c>
      <c r="G56" s="430" t="s">
        <v>509</v>
      </c>
      <c r="H56" s="432" t="s">
        <v>510</v>
      </c>
      <c r="I56" s="460"/>
      <c r="J56" s="460"/>
      <c r="K56" s="429"/>
      <c r="L56" s="429"/>
      <c r="M56" s="429"/>
      <c r="N56" s="429"/>
      <c r="O56" s="429"/>
    </row>
    <row r="57" spans="1:17" ht="30" customHeight="1" thickBot="1" x14ac:dyDescent="0.3">
      <c r="B57" s="700"/>
      <c r="C57" s="722"/>
      <c r="D57" s="676"/>
      <c r="E57" s="671"/>
      <c r="F57" s="681"/>
      <c r="G57" s="512">
        <f>'Звіт  7,8'!N19/1000</f>
        <v>0</v>
      </c>
      <c r="H57" s="513">
        <f>'Звіт  7,8'!L19/1000</f>
        <v>190.56748000000002</v>
      </c>
      <c r="I57" s="431"/>
      <c r="J57" s="431"/>
      <c r="K57" s="309"/>
      <c r="L57" s="429"/>
      <c r="M57" s="429"/>
      <c r="N57" s="429"/>
      <c r="O57" s="429"/>
    </row>
    <row r="58" spans="1:17" ht="35.1" customHeight="1" x14ac:dyDescent="0.25">
      <c r="B58" s="723" t="s">
        <v>648</v>
      </c>
      <c r="C58" s="725" t="s">
        <v>570</v>
      </c>
      <c r="D58" s="711" t="s">
        <v>459</v>
      </c>
      <c r="E58" s="713" t="s">
        <v>468</v>
      </c>
      <c r="F58" s="731" t="b">
        <f>IF('Звіт   4,5,6'!E30=0,"Дані не введено",IF(AND(G59&gt;0,H59&gt;0),TRUE))</f>
        <v>1</v>
      </c>
      <c r="G58" s="514" t="s">
        <v>571</v>
      </c>
      <c r="H58" s="515" t="s">
        <v>565</v>
      </c>
      <c r="I58" s="516"/>
      <c r="J58" s="517" t="s">
        <v>517</v>
      </c>
      <c r="K58" s="517" t="s">
        <v>517</v>
      </c>
      <c r="L58" s="429"/>
      <c r="M58" s="429"/>
      <c r="N58" s="429"/>
      <c r="O58" s="429"/>
    </row>
    <row r="59" spans="1:17" ht="30" customHeight="1" thickBot="1" x14ac:dyDescent="0.3">
      <c r="B59" s="724"/>
      <c r="C59" s="726"/>
      <c r="D59" s="729"/>
      <c r="E59" s="730"/>
      <c r="F59" s="732"/>
      <c r="G59" s="518">
        <f>'Звіт  7,8'!H9/1000</f>
        <v>70.707729999999998</v>
      </c>
      <c r="H59" s="519">
        <f>'Звіт  7,8'!F27</f>
        <v>2</v>
      </c>
      <c r="I59" s="520"/>
      <c r="J59" s="521">
        <f>G59+G61+H61+G63+G65+G67+G69+G71+H71+G73-'Звіт  7,8'!H8/1000</f>
        <v>0</v>
      </c>
      <c r="K59" s="521">
        <f>H59+I61+I63+H65+H67+H69+I71+I73-'Звіт  7,8'!E27</f>
        <v>0</v>
      </c>
      <c r="L59" s="429"/>
      <c r="M59" s="429"/>
      <c r="N59" s="429"/>
      <c r="O59" s="429"/>
    </row>
    <row r="60" spans="1:17" ht="43.35" customHeight="1" x14ac:dyDescent="0.25">
      <c r="B60" s="723" t="s">
        <v>649</v>
      </c>
      <c r="C60" s="725" t="s">
        <v>575</v>
      </c>
      <c r="D60" s="711" t="s">
        <v>459</v>
      </c>
      <c r="E60" s="713" t="s">
        <v>468</v>
      </c>
      <c r="F60" s="731" t="b">
        <f>IF('Звіт   4,5,6'!E30=0,"Дані не введено",IF(OR(AND(G61&gt;0,I61&gt;0)),TRUE,IF(AND(H61&gt;0,I61&gt;0),TRUE,IF(AND(G61=0,H61=0,I61=0),TRUE,FALSE))))</f>
        <v>1</v>
      </c>
      <c r="G60" s="514" t="s">
        <v>576</v>
      </c>
      <c r="H60" s="514" t="s">
        <v>601</v>
      </c>
      <c r="I60" s="515" t="s">
        <v>566</v>
      </c>
      <c r="J60" s="520"/>
      <c r="K60" s="522"/>
      <c r="L60" s="429"/>
      <c r="M60" s="429"/>
      <c r="N60" s="429"/>
      <c r="O60" s="429"/>
    </row>
    <row r="61" spans="1:17" ht="30" customHeight="1" thickBot="1" x14ac:dyDescent="0.3">
      <c r="B61" s="724"/>
      <c r="C61" s="726"/>
      <c r="D61" s="729"/>
      <c r="E61" s="730"/>
      <c r="F61" s="732"/>
      <c r="G61" s="518">
        <f>'Звіт  7,8'!L11/1000</f>
        <v>52.104589999999995</v>
      </c>
      <c r="H61" s="518">
        <f>'Звіт  7,8'!N11/1000</f>
        <v>0</v>
      </c>
      <c r="I61" s="519">
        <f>'Звіт  7,8'!G27</f>
        <v>2</v>
      </c>
      <c r="J61" s="520"/>
      <c r="K61" s="522"/>
      <c r="L61" s="429"/>
      <c r="M61" s="429"/>
      <c r="N61" s="429"/>
      <c r="O61" s="429"/>
    </row>
    <row r="62" spans="1:17" ht="52.35" customHeight="1" x14ac:dyDescent="0.25">
      <c r="B62" s="723" t="s">
        <v>650</v>
      </c>
      <c r="C62" s="725" t="s">
        <v>594</v>
      </c>
      <c r="D62" s="711" t="s">
        <v>459</v>
      </c>
      <c r="E62" s="713" t="s">
        <v>468</v>
      </c>
      <c r="F62" s="731" t="b">
        <f>IF('Звіт   4,5,6'!E30=0,"Дані не введено",IF(OR(AND(G63&gt;0,I63&gt;0)),TRUE,IF(AND(H63&gt;0,I63&gt;0),TRUE,IF(AND(G63=0,H63=0,I63=0),TRUE,FALSE))))</f>
        <v>1</v>
      </c>
      <c r="G62" s="514" t="s">
        <v>589</v>
      </c>
      <c r="H62" s="514" t="s">
        <v>601</v>
      </c>
      <c r="I62" s="515" t="s">
        <v>578</v>
      </c>
      <c r="J62" s="520"/>
      <c r="K62" s="522"/>
      <c r="L62" s="429"/>
      <c r="M62" s="429"/>
      <c r="N62" s="429"/>
      <c r="O62" s="429"/>
    </row>
    <row r="63" spans="1:17" ht="30" customHeight="1" thickBot="1" x14ac:dyDescent="0.3">
      <c r="B63" s="724"/>
      <c r="C63" s="726"/>
      <c r="D63" s="729"/>
      <c r="E63" s="730"/>
      <c r="F63" s="732"/>
      <c r="G63" s="518">
        <f>'Звіт  7,8'!J11/1000</f>
        <v>0</v>
      </c>
      <c r="H63" s="518">
        <f>'Звіт  7,8'!N11/1000</f>
        <v>0</v>
      </c>
      <c r="I63" s="519">
        <f>'Звіт  7,8'!H27</f>
        <v>0</v>
      </c>
      <c r="J63" s="520"/>
      <c r="K63" s="522"/>
      <c r="L63" s="429"/>
      <c r="M63" s="429"/>
      <c r="N63" s="429"/>
      <c r="O63" s="429"/>
    </row>
    <row r="64" spans="1:17" ht="47.45" customHeight="1" x14ac:dyDescent="0.25">
      <c r="B64" s="723" t="s">
        <v>651</v>
      </c>
      <c r="C64" s="725" t="s">
        <v>580</v>
      </c>
      <c r="D64" s="711" t="s">
        <v>459</v>
      </c>
      <c r="E64" s="713" t="s">
        <v>468</v>
      </c>
      <c r="F64" s="731" t="b">
        <f>IF('Звіт   4,5,6'!E30=0,"Дані не введено",IF(AND(G65&gt;0,H65&gt;0),TRUE))</f>
        <v>1</v>
      </c>
      <c r="G64" s="514" t="s">
        <v>579</v>
      </c>
      <c r="H64" s="515" t="s">
        <v>581</v>
      </c>
      <c r="I64" s="520"/>
      <c r="J64" s="520"/>
      <c r="K64" s="522"/>
      <c r="L64" s="429"/>
      <c r="M64" s="429"/>
      <c r="N64" s="429"/>
      <c r="O64" s="429"/>
    </row>
    <row r="65" spans="2:16" ht="30" customHeight="1" thickBot="1" x14ac:dyDescent="0.3">
      <c r="B65" s="724"/>
      <c r="C65" s="726"/>
      <c r="D65" s="729"/>
      <c r="E65" s="730"/>
      <c r="F65" s="732"/>
      <c r="G65" s="518">
        <f>'Звіт  7,8'!H13/1000</f>
        <v>218.50206</v>
      </c>
      <c r="H65" s="519">
        <f>'Звіт  7,8'!I27</f>
        <v>8.5</v>
      </c>
      <c r="I65" s="520"/>
      <c r="J65" s="520"/>
      <c r="K65" s="522"/>
      <c r="L65" s="429"/>
      <c r="M65" s="429"/>
      <c r="N65" s="429"/>
      <c r="O65" s="429"/>
    </row>
    <row r="66" spans="2:16" ht="51" customHeight="1" x14ac:dyDescent="0.25">
      <c r="B66" s="723" t="s">
        <v>652</v>
      </c>
      <c r="C66" s="725" t="s">
        <v>595</v>
      </c>
      <c r="D66" s="711" t="s">
        <v>459</v>
      </c>
      <c r="E66" s="713" t="s">
        <v>468</v>
      </c>
      <c r="F66" s="731" t="b">
        <f>IF('Звіт   4,5,6'!E30=0,"Дані не введено",IF(AND(G67&gt;0,H67&gt;0),TRUE))</f>
        <v>1</v>
      </c>
      <c r="G66" s="514" t="s">
        <v>582</v>
      </c>
      <c r="H66" s="515" t="s">
        <v>583</v>
      </c>
      <c r="I66" s="520"/>
      <c r="J66" s="520"/>
      <c r="K66" s="522"/>
      <c r="L66" s="429"/>
      <c r="M66" s="429"/>
      <c r="N66" s="429"/>
      <c r="O66" s="429"/>
    </row>
    <row r="67" spans="2:16" ht="30" customHeight="1" thickBot="1" x14ac:dyDescent="0.3">
      <c r="B67" s="724"/>
      <c r="C67" s="726"/>
      <c r="D67" s="729"/>
      <c r="E67" s="730"/>
      <c r="F67" s="732"/>
      <c r="G67" s="518">
        <f>'Звіт  7,8'!H15/1000</f>
        <v>623.92350999999996</v>
      </c>
      <c r="H67" s="519">
        <f>'Звіт  7,8'!J27</f>
        <v>34.5</v>
      </c>
      <c r="I67" s="520"/>
      <c r="J67" s="520"/>
      <c r="K67" s="522"/>
      <c r="L67" s="429"/>
      <c r="M67" s="429"/>
      <c r="N67" s="429"/>
      <c r="O67" s="429"/>
    </row>
    <row r="68" spans="2:16" ht="54" customHeight="1" x14ac:dyDescent="0.25">
      <c r="B68" s="723" t="s">
        <v>653</v>
      </c>
      <c r="C68" s="725" t="s">
        <v>599</v>
      </c>
      <c r="D68" s="711" t="s">
        <v>459</v>
      </c>
      <c r="E68" s="713" t="s">
        <v>468</v>
      </c>
      <c r="F68" s="731" t="b">
        <f>IF('Звіт   4,5,6'!E30=0,"Дані не введено",IF(AND(G69&gt;0,H69&gt;0),TRUE))</f>
        <v>1</v>
      </c>
      <c r="G68" s="514" t="s">
        <v>584</v>
      </c>
      <c r="H68" s="515" t="s">
        <v>585</v>
      </c>
      <c r="I68" s="520"/>
      <c r="J68" s="520"/>
      <c r="K68" s="522"/>
      <c r="L68" s="429"/>
      <c r="M68" s="429"/>
      <c r="N68" s="429"/>
      <c r="O68" s="429"/>
    </row>
    <row r="69" spans="2:16" ht="30" customHeight="1" thickBot="1" x14ac:dyDescent="0.3">
      <c r="B69" s="724"/>
      <c r="C69" s="726"/>
      <c r="D69" s="729"/>
      <c r="E69" s="730"/>
      <c r="F69" s="732"/>
      <c r="G69" s="518">
        <f>'Звіт  7,8'!H17/1000</f>
        <v>152.01646</v>
      </c>
      <c r="H69" s="519">
        <f>'Звіт  7,8'!K27</f>
        <v>10.5</v>
      </c>
      <c r="I69" s="520"/>
      <c r="J69" s="520"/>
      <c r="K69" s="522"/>
      <c r="L69" s="429"/>
      <c r="M69" s="429"/>
      <c r="N69" s="429"/>
      <c r="O69" s="429"/>
    </row>
    <row r="70" spans="2:16" ht="62.1" customHeight="1" x14ac:dyDescent="0.25">
      <c r="B70" s="723" t="s">
        <v>654</v>
      </c>
      <c r="C70" s="725" t="s">
        <v>596</v>
      </c>
      <c r="D70" s="711" t="s">
        <v>459</v>
      </c>
      <c r="E70" s="713" t="s">
        <v>468</v>
      </c>
      <c r="F70" s="731" t="b">
        <f>IF('Звіт   4,5,6'!E30=0,"Дані не введено",IF(OR(AND(G71&gt;0,I71&gt;0)),TRUE,IF(AND(H71&gt;0,I71&gt;0),TRUE,IF(AND(G71=0,H71=0,I71=0),TRUE,FALSE))))</f>
        <v>1</v>
      </c>
      <c r="G70" s="514" t="s">
        <v>586</v>
      </c>
      <c r="H70" s="514" t="s">
        <v>600</v>
      </c>
      <c r="I70" s="515" t="s">
        <v>588</v>
      </c>
      <c r="J70" s="520"/>
      <c r="K70" s="522"/>
      <c r="L70" s="429"/>
      <c r="M70" s="429"/>
      <c r="N70" s="429"/>
      <c r="O70" s="429"/>
    </row>
    <row r="71" spans="2:16" ht="40.35" customHeight="1" thickBot="1" x14ac:dyDescent="0.3">
      <c r="B71" s="724"/>
      <c r="C71" s="726"/>
      <c r="D71" s="729"/>
      <c r="E71" s="730"/>
      <c r="F71" s="732"/>
      <c r="G71" s="518">
        <f>'Звіт  7,8'!L19/1000</f>
        <v>190.56748000000002</v>
      </c>
      <c r="H71" s="518">
        <f>'Звіт  7,8'!N19/1000</f>
        <v>0</v>
      </c>
      <c r="I71" s="519">
        <f>'Звіт  7,8'!L27</f>
        <v>29</v>
      </c>
      <c r="J71" s="520"/>
      <c r="K71" s="522"/>
      <c r="L71" s="429"/>
      <c r="M71" s="429"/>
      <c r="N71" s="429"/>
      <c r="O71" s="429"/>
    </row>
    <row r="72" spans="2:16" ht="41.45" customHeight="1" x14ac:dyDescent="0.25">
      <c r="B72" s="723" t="s">
        <v>655</v>
      </c>
      <c r="C72" s="725" t="s">
        <v>597</v>
      </c>
      <c r="D72" s="711" t="s">
        <v>459</v>
      </c>
      <c r="E72" s="713" t="s">
        <v>468</v>
      </c>
      <c r="F72" s="731" t="b">
        <f>IF('Звіт   4,5,6'!E30=0,"Дані не введено",IF(OR(AND(G73&gt;0,I73&gt;0)),TRUE,IF(AND(H73&gt;0,I73&gt;0),TRUE,IF(AND(G73=0,H73=0,I73=0),TRUE,FALSE))))</f>
        <v>1</v>
      </c>
      <c r="G72" s="514" t="s">
        <v>590</v>
      </c>
      <c r="H72" s="514" t="s">
        <v>600</v>
      </c>
      <c r="I72" s="515" t="s">
        <v>587</v>
      </c>
      <c r="J72" s="520"/>
      <c r="K72" s="522"/>
      <c r="L72" s="429"/>
      <c r="M72" s="429"/>
      <c r="N72" s="429"/>
      <c r="O72" s="429"/>
    </row>
    <row r="73" spans="2:16" ht="25.35" customHeight="1" thickBot="1" x14ac:dyDescent="0.3">
      <c r="B73" s="724"/>
      <c r="C73" s="726"/>
      <c r="D73" s="729"/>
      <c r="E73" s="730"/>
      <c r="F73" s="732"/>
      <c r="G73" s="518">
        <f>'Звіт  7,8'!J19/1000</f>
        <v>279.42653000000001</v>
      </c>
      <c r="H73" s="518">
        <f>'Звіт  7,8'!N19/1000</f>
        <v>0</v>
      </c>
      <c r="I73" s="519">
        <f>'Звіт  7,8'!M27</f>
        <v>1</v>
      </c>
      <c r="J73" s="520"/>
      <c r="K73" s="522"/>
      <c r="L73" s="429"/>
      <c r="M73" s="429"/>
      <c r="N73" s="429"/>
      <c r="O73" s="429"/>
    </row>
    <row r="74" spans="2:16" ht="50.1" customHeight="1" x14ac:dyDescent="0.25">
      <c r="B74" s="723" t="s">
        <v>656</v>
      </c>
      <c r="C74" s="725" t="s">
        <v>592</v>
      </c>
      <c r="D74" s="711" t="s">
        <v>459</v>
      </c>
      <c r="E74" s="713" t="s">
        <v>468</v>
      </c>
      <c r="F74" s="731" t="b">
        <f>IF('Звіт   4,5,6'!E30=0,"Дані не введено",IF(G75&gt;=50,H75&gt;0,TRUE))</f>
        <v>1</v>
      </c>
      <c r="G74" s="514" t="s">
        <v>591</v>
      </c>
      <c r="H74" s="514" t="s">
        <v>593</v>
      </c>
      <c r="I74" s="523"/>
      <c r="J74" s="520"/>
      <c r="K74" s="522"/>
      <c r="L74" s="429"/>
      <c r="M74" s="429"/>
      <c r="N74" s="429"/>
      <c r="O74" s="429"/>
    </row>
    <row r="75" spans="2:16" ht="30" customHeight="1" thickBot="1" x14ac:dyDescent="0.3">
      <c r="B75" s="724"/>
      <c r="C75" s="726"/>
      <c r="D75" s="729"/>
      <c r="E75" s="730"/>
      <c r="F75" s="732"/>
      <c r="G75" s="518">
        <f>'Звіт  7,8'!E27</f>
        <v>87.5</v>
      </c>
      <c r="H75" s="518">
        <f>'Звіт  7,8'!N27</f>
        <v>41829</v>
      </c>
      <c r="I75" s="524"/>
      <c r="J75" s="525"/>
      <c r="K75" s="526"/>
      <c r="L75" s="429"/>
      <c r="M75" s="429"/>
      <c r="N75" s="429"/>
      <c r="O75" s="429"/>
    </row>
    <row r="76" spans="2:16" ht="30" customHeight="1" thickBot="1" x14ac:dyDescent="0.3">
      <c r="B76" s="445" t="s">
        <v>669</v>
      </c>
      <c r="C76" s="541" t="s">
        <v>670</v>
      </c>
      <c r="D76" s="297" t="s">
        <v>459</v>
      </c>
      <c r="E76" s="320" t="s">
        <v>460</v>
      </c>
      <c r="F76" s="542" t="b">
        <f>IF('Звіт   4,5,6'!E30=0,"Дані не введено",IF((('Звіт   4,5,6'!L15+'Звіт   4,5,6'!L16+'Звіт   4,5,6'!L17)/1000)&lt;=('Звіт   4,5,6'!G90/1000),TRUE,FALSE))</f>
        <v>1</v>
      </c>
      <c r="G76" s="318"/>
      <c r="H76" s="318"/>
      <c r="I76" s="770" t="s">
        <v>523</v>
      </c>
      <c r="J76" s="403"/>
      <c r="K76" s="309"/>
      <c r="L76" s="429"/>
      <c r="M76" s="429"/>
      <c r="N76" s="429"/>
      <c r="O76" s="429"/>
    </row>
    <row r="77" spans="2:16" ht="51.6" customHeight="1" thickBot="1" x14ac:dyDescent="0.3">
      <c r="B77" s="31"/>
      <c r="C77" s="329" t="s">
        <v>497</v>
      </c>
      <c r="I77" s="771"/>
    </row>
    <row r="78" spans="2:16" ht="90.6" customHeight="1" x14ac:dyDescent="0.25">
      <c r="B78" s="772" t="s">
        <v>657</v>
      </c>
      <c r="C78" s="615" t="s">
        <v>673</v>
      </c>
      <c r="D78" s="711" t="s">
        <v>459</v>
      </c>
      <c r="E78" s="713" t="s">
        <v>468</v>
      </c>
      <c r="F78" s="715" t="b">
        <f>IF('Звіт   4,5,6'!E30=0,"Дані не введено",IF(OR(F27=FALSE,F29=FALSE,F24=FALSE,I79&lt;0,J79&lt;0),FALSE,IF(AND(H79&gt;0,'Звіт   4,5,6'!L15=0),FALSE,TRUE)))</f>
        <v>1</v>
      </c>
      <c r="G78" s="327" t="s">
        <v>616</v>
      </c>
      <c r="H78" s="327" t="s">
        <v>615</v>
      </c>
      <c r="I78" s="465" t="s">
        <v>728</v>
      </c>
      <c r="J78" s="328" t="s">
        <v>680</v>
      </c>
      <c r="K78" s="686" t="s">
        <v>679</v>
      </c>
      <c r="L78" s="597"/>
      <c r="M78" s="597"/>
      <c r="N78" s="597"/>
      <c r="O78" s="597"/>
      <c r="P78" s="597"/>
    </row>
    <row r="79" spans="2:16" ht="54" customHeight="1" thickBot="1" x14ac:dyDescent="0.3">
      <c r="B79" s="773"/>
      <c r="C79" s="616" t="s">
        <v>671</v>
      </c>
      <c r="D79" s="712"/>
      <c r="E79" s="714"/>
      <c r="F79" s="716"/>
      <c r="G79" s="611">
        <f>ROUND('Звіт   9'!J74,1)</f>
        <v>0</v>
      </c>
      <c r="H79" s="611">
        <f>ROUND('Звіт   9'!G74,1)</f>
        <v>0</v>
      </c>
      <c r="I79" s="611">
        <f>ROUND(('Звіт   4,5,6'!L15+'Звіт   4,5,6'!R7)/1000,1)</f>
        <v>0</v>
      </c>
      <c r="J79" s="617">
        <f>ROUND((G79-H79+I79),1)</f>
        <v>0</v>
      </c>
      <c r="K79" s="686"/>
      <c r="L79" s="601"/>
      <c r="M79" s="601"/>
      <c r="N79" s="601"/>
      <c r="O79" s="601"/>
      <c r="P79" s="601"/>
    </row>
    <row r="80" spans="2:16" ht="105" customHeight="1" x14ac:dyDescent="0.25">
      <c r="B80" s="766" t="s">
        <v>658</v>
      </c>
      <c r="C80" s="768" t="s">
        <v>688</v>
      </c>
      <c r="D80" s="777" t="s">
        <v>459</v>
      </c>
      <c r="E80" s="779" t="s">
        <v>468</v>
      </c>
      <c r="F80" s="656" t="b">
        <f>IF('Звіт   4,5,6'!E30=0,"Дані не введено",IF(OR(F78=FALSE,F76=FALSE),FALSE,IF(OR(J81&lt;0,L81&lt;0,O81&lt;0,H81&lt;0),FALSE,IF(AND(I81&gt;0,'Звіт   4,5,6'!L16=0),FALSE,TRUE))))</f>
        <v>1</v>
      </c>
      <c r="G80" s="327" t="s">
        <v>530</v>
      </c>
      <c r="H80" s="457" t="s">
        <v>729</v>
      </c>
      <c r="I80" s="327" t="s">
        <v>531</v>
      </c>
      <c r="J80" s="327" t="s">
        <v>681</v>
      </c>
      <c r="K80" s="327" t="s">
        <v>522</v>
      </c>
      <c r="L80" s="327" t="s">
        <v>533</v>
      </c>
      <c r="M80" s="327" t="s">
        <v>534</v>
      </c>
      <c r="N80" s="327" t="s">
        <v>535</v>
      </c>
      <c r="O80" s="328" t="s">
        <v>532</v>
      </c>
    </row>
    <row r="81" spans="2:17" ht="40.35" customHeight="1" thickBot="1" x14ac:dyDescent="0.3">
      <c r="B81" s="767"/>
      <c r="C81" s="769"/>
      <c r="D81" s="778"/>
      <c r="E81" s="752"/>
      <c r="F81" s="657"/>
      <c r="G81" s="317">
        <f>ROUND('Звіт   9'!J48,1)</f>
        <v>5987.2</v>
      </c>
      <c r="H81" s="317">
        <f>ROUND(('Звіт   4,5,6'!L16+'Звіт   4,5,6'!R8)/1000,1)</f>
        <v>158.9</v>
      </c>
      <c r="I81" s="317">
        <f>ROUND('Звіт   9'!G48,1)</f>
        <v>6146.1</v>
      </c>
      <c r="J81" s="599">
        <f>G81+H81-I81</f>
        <v>0</v>
      </c>
      <c r="K81" s="603">
        <f>ROUND(('Звіт 1,2,3'!K16+'Звіт 1,2,3'!M16+'Звіт 1,2,3'!O16+'Звіт 1,2,3'!Q16+'Звіт 1,2,3'!J41)/1000,1)</f>
        <v>557.79999999999995</v>
      </c>
      <c r="L81" s="599">
        <f>K81-J81</f>
        <v>557.79999999999995</v>
      </c>
      <c r="M81" s="317">
        <f>ROUND('Звіт   9'!J59,1)</f>
        <v>162.5</v>
      </c>
      <c r="N81" s="317">
        <f>ROUND('Звіт   9'!G59,1)</f>
        <v>175.2</v>
      </c>
      <c r="O81" s="489">
        <f>N81-M81+L81</f>
        <v>570.5</v>
      </c>
    </row>
    <row r="82" spans="2:17" ht="90" customHeight="1" x14ac:dyDescent="0.25">
      <c r="B82" s="658" t="s">
        <v>659</v>
      </c>
      <c r="C82" s="764" t="s">
        <v>617</v>
      </c>
      <c r="D82" s="664" t="s">
        <v>459</v>
      </c>
      <c r="E82" s="677" t="s">
        <v>468</v>
      </c>
      <c r="F82" s="668" t="b">
        <f>IF('Звіт   4,5,6'!E30=0,"Дані не введено",IF(G83&lt;(IF(H83="Увага",FALSE,H83+I83)),FALSE,IF(OR(H83&lt;=0,I79&lt;0,G83=0),FALSE,IF(AND(H79&gt;0,I79&lt;=0),FALSE,IF(F80=FALSE,FALSE,TRUE)))))</f>
        <v>1</v>
      </c>
      <c r="G82" s="406" t="s">
        <v>505</v>
      </c>
      <c r="H82" s="476" t="s">
        <v>690</v>
      </c>
      <c r="I82" s="465" t="s">
        <v>686</v>
      </c>
      <c r="J82" s="386" t="s">
        <v>467</v>
      </c>
      <c r="K82" s="762"/>
      <c r="L82" s="762"/>
      <c r="M82" s="762"/>
      <c r="N82" s="601"/>
      <c r="O82" s="601"/>
      <c r="Q82" s="535"/>
    </row>
    <row r="83" spans="2:17" ht="35.450000000000003" customHeight="1" thickBot="1" x14ac:dyDescent="0.3">
      <c r="B83" s="659"/>
      <c r="C83" s="765"/>
      <c r="D83" s="665"/>
      <c r="E83" s="733"/>
      <c r="F83" s="669"/>
      <c r="G83" s="317">
        <f>ROUND('Звіт   4,5,6'!H15/1000,1)</f>
        <v>767.9</v>
      </c>
      <c r="H83" s="599">
        <f>O81-J79 - ROUND('Звіт   4,5,6'!R6/1000,1)</f>
        <v>570.5</v>
      </c>
      <c r="I83" s="317">
        <f>ROUND('Звіт   4,5,6'!L15/1000,1)</f>
        <v>0</v>
      </c>
      <c r="J83" s="436">
        <f>G83-H83-I83</f>
        <v>197.39999999999998</v>
      </c>
      <c r="K83" s="403"/>
      <c r="L83" s="596"/>
      <c r="M83" s="597"/>
      <c r="N83" s="597"/>
      <c r="O83" s="597"/>
    </row>
    <row r="84" spans="2:17" ht="73.7" customHeight="1" x14ac:dyDescent="0.25">
      <c r="B84" s="658" t="s">
        <v>660</v>
      </c>
      <c r="C84" s="660" t="s">
        <v>607</v>
      </c>
      <c r="D84" s="664" t="s">
        <v>459</v>
      </c>
      <c r="E84" s="677" t="s">
        <v>468</v>
      </c>
      <c r="F84" s="668" t="b">
        <f>IF('Звіт   4,5,6'!E30=0,"Дані не введено",IF(F82=FALSE,FALSE,IF(G85&lt;H85,FALSE,IF(OR(G85&lt;=0,H85&lt;=0),FALSE,TRUE))))</f>
        <v>1</v>
      </c>
      <c r="G84" s="406" t="s">
        <v>687</v>
      </c>
      <c r="H84" s="476" t="str">
        <f>H82</f>
        <v>71 ЦФ без АММ =  48Дт  - 69Кт - вибуття ТМЦ, що придбані (отримані) за кошти цільового фінансування (Дт 48 Кт 377)</v>
      </c>
      <c r="I84" s="386" t="s">
        <v>467</v>
      </c>
      <c r="J84" s="403"/>
      <c r="K84" s="403"/>
      <c r="L84" s="435"/>
      <c r="M84" s="403"/>
      <c r="N84" s="403"/>
      <c r="O84" s="403"/>
    </row>
    <row r="85" spans="2:17" ht="44.45" customHeight="1" thickBot="1" x14ac:dyDescent="0.3">
      <c r="B85" s="659"/>
      <c r="C85" s="661"/>
      <c r="D85" s="665"/>
      <c r="E85" s="733"/>
      <c r="F85" s="669"/>
      <c r="G85" s="610">
        <f>ROUND('Звіт   4,5,6'!P29/1000,1)</f>
        <v>713.4</v>
      </c>
      <c r="H85" s="633">
        <f>H83</f>
        <v>570.5</v>
      </c>
      <c r="I85" s="436">
        <f>G85-H85</f>
        <v>142.89999999999998</v>
      </c>
      <c r="J85" s="403"/>
      <c r="K85" s="403"/>
      <c r="L85" s="580"/>
      <c r="M85" s="403"/>
      <c r="N85" s="403"/>
      <c r="O85" s="403"/>
    </row>
    <row r="86" spans="2:17" ht="44.45" customHeight="1" thickBot="1" x14ac:dyDescent="0.3">
      <c r="B86" s="774" t="s">
        <v>697</v>
      </c>
      <c r="C86" s="775"/>
      <c r="D86" s="775"/>
      <c r="E86" s="775"/>
      <c r="F86" s="775"/>
      <c r="G86" s="609" t="b">
        <f>IF(AND(J88&gt;0,K88&gt;0,K88&gt;=J88/2,K88&lt;=J88),TRUE,FALSE)</f>
        <v>1</v>
      </c>
      <c r="H86" s="609" t="b">
        <f>IF(AND(J90&gt;0,K90&gt;0,K90&gt;=J90/2,K90&lt;=J90),TRUE,FALSE)</f>
        <v>1</v>
      </c>
      <c r="I86" s="435"/>
      <c r="J86" s="403"/>
      <c r="K86" s="403"/>
      <c r="L86" s="580"/>
      <c r="M86" s="403"/>
      <c r="N86" s="403"/>
      <c r="O86" s="403"/>
    </row>
    <row r="87" spans="2:17" ht="60" customHeight="1" x14ac:dyDescent="0.25">
      <c r="B87" s="658" t="s">
        <v>695</v>
      </c>
      <c r="C87" s="660" t="s">
        <v>702</v>
      </c>
      <c r="D87" s="654" t="s">
        <v>459</v>
      </c>
      <c r="E87" s="654" t="s">
        <v>468</v>
      </c>
      <c r="F87" s="656" t="b">
        <f>IF('Звіт   4,5,6'!E30=0,"Дані не введено",IF(G86=FALSE,FALSE,IF(AND(G88&gt;0,H88&gt;0,H88&gt;=G88/2,H88&lt;=G88),TRUE,FALSE)))</f>
        <v>1</v>
      </c>
      <c r="G87" s="406" t="s">
        <v>698</v>
      </c>
      <c r="H87" s="406" t="s">
        <v>699</v>
      </c>
      <c r="I87" s="636" t="s">
        <v>705</v>
      </c>
      <c r="J87" s="406" t="s">
        <v>700</v>
      </c>
      <c r="K87" s="406" t="s">
        <v>701</v>
      </c>
      <c r="L87" s="636" t="s">
        <v>704</v>
      </c>
      <c r="M87" s="403"/>
      <c r="N87" s="403"/>
      <c r="O87" s="403"/>
    </row>
    <row r="88" spans="2:17" ht="42" customHeight="1" thickBot="1" x14ac:dyDescent="0.3">
      <c r="B88" s="700"/>
      <c r="C88" s="748"/>
      <c r="D88" s="776"/>
      <c r="E88" s="776"/>
      <c r="F88" s="657"/>
      <c r="G88" s="635">
        <f>'Звіт   9'!G9+'Звіт   9'!G13</f>
        <v>6147.2000000000007</v>
      </c>
      <c r="H88" s="635">
        <f>'Звіт   9'!G47+'Звіт   9'!G48+'Звіт   9'!G74</f>
        <v>6146.1</v>
      </c>
      <c r="I88" s="637">
        <f>H88*100/G88</f>
        <v>99.98210567412805</v>
      </c>
      <c r="J88" s="635">
        <f>'Звіт   9'!J9+'Звіт   9'!J13</f>
        <v>5988.3000000000011</v>
      </c>
      <c r="K88" s="635">
        <f>'Звіт   9'!J47+'Звіт   9'!J48+'Звіт   9'!J74</f>
        <v>5987.2</v>
      </c>
      <c r="L88" s="637">
        <f>K88*100/J88</f>
        <v>99.98163084681795</v>
      </c>
      <c r="M88" s="403"/>
      <c r="N88" s="403"/>
      <c r="O88" s="403"/>
    </row>
    <row r="89" spans="2:17" ht="42" customHeight="1" x14ac:dyDescent="0.25">
      <c r="B89" s="658" t="s">
        <v>696</v>
      </c>
      <c r="C89" s="660" t="s">
        <v>703</v>
      </c>
      <c r="D89" s="654" t="s">
        <v>459</v>
      </c>
      <c r="E89" s="654" t="s">
        <v>468</v>
      </c>
      <c r="F89" s="656" t="b">
        <f>IF('Звіт   4,5,6'!E30=0,"Дані не введено",IF(H86=FALSE,FALSE,IF(AND(G90&gt;0,H90&gt;0,H90&gt;=G90/2,H90&lt;=G90),TRUE,FALSE)))</f>
        <v>1</v>
      </c>
      <c r="G89" s="406" t="s">
        <v>706</v>
      </c>
      <c r="H89" s="406" t="s">
        <v>708</v>
      </c>
      <c r="I89" s="636" t="s">
        <v>709</v>
      </c>
      <c r="J89" s="406" t="s">
        <v>707</v>
      </c>
      <c r="K89" s="406" t="s">
        <v>710</v>
      </c>
      <c r="L89" s="393" t="s">
        <v>711</v>
      </c>
      <c r="M89" s="403"/>
      <c r="N89" s="403"/>
      <c r="O89" s="403"/>
    </row>
    <row r="90" spans="2:17" ht="34.700000000000003" customHeight="1" thickBot="1" x14ac:dyDescent="0.3">
      <c r="B90" s="659"/>
      <c r="C90" s="661"/>
      <c r="D90" s="655"/>
      <c r="E90" s="655"/>
      <c r="F90" s="657"/>
      <c r="G90" s="317">
        <f>'Звіт   9'!G26+'Звіт   9'!G12</f>
        <v>257.7</v>
      </c>
      <c r="H90" s="634">
        <f>'Звіт   9'!G59</f>
        <v>175.2</v>
      </c>
      <c r="I90" s="638">
        <f>H90*100/G90</f>
        <v>67.986030267753208</v>
      </c>
      <c r="J90" s="401">
        <f>'Звіт   9'!J12+'Звіт   9'!J26</f>
        <v>218.9</v>
      </c>
      <c r="K90" s="401">
        <f>'Звіт   9'!J59</f>
        <v>162.5</v>
      </c>
      <c r="L90" s="639">
        <f>K90*100/J90</f>
        <v>74.234810415714932</v>
      </c>
      <c r="M90" s="403"/>
      <c r="N90" s="403"/>
      <c r="O90" s="403"/>
    </row>
    <row r="91" spans="2:17" ht="41.45" customHeight="1" x14ac:dyDescent="0.25">
      <c r="B91" s="645" t="s">
        <v>661</v>
      </c>
      <c r="C91" s="646" t="s">
        <v>611</v>
      </c>
      <c r="D91" s="647" t="s">
        <v>618</v>
      </c>
      <c r="E91" s="648"/>
      <c r="F91" s="649">
        <f>K81</f>
        <v>557.79999999999995</v>
      </c>
      <c r="H91" s="309"/>
      <c r="I91" s="309"/>
      <c r="J91" s="403"/>
      <c r="K91" s="434"/>
      <c r="L91" s="64"/>
    </row>
    <row r="92" spans="2:17" ht="38.1" customHeight="1" x14ac:dyDescent="0.25">
      <c r="B92" s="645" t="s">
        <v>662</v>
      </c>
      <c r="C92" s="646" t="s">
        <v>612</v>
      </c>
      <c r="D92" s="647" t="s">
        <v>618</v>
      </c>
      <c r="E92" s="648"/>
      <c r="F92" s="650">
        <f>H85</f>
        <v>570.5</v>
      </c>
      <c r="J92" s="403"/>
      <c r="K92" s="434"/>
      <c r="L92" s="64"/>
    </row>
    <row r="93" spans="2:17" ht="38.1" customHeight="1" x14ac:dyDescent="0.25">
      <c r="B93" s="645" t="s">
        <v>663</v>
      </c>
      <c r="C93" s="646" t="s">
        <v>609</v>
      </c>
      <c r="D93" s="647" t="s">
        <v>618</v>
      </c>
      <c r="E93" s="648"/>
      <c r="F93" s="649">
        <f>G85</f>
        <v>713.4</v>
      </c>
      <c r="J93" s="403"/>
      <c r="K93" s="434"/>
      <c r="L93" s="64"/>
    </row>
    <row r="94" spans="2:17" ht="38.1" customHeight="1" x14ac:dyDescent="0.25">
      <c r="B94" s="645" t="s">
        <v>664</v>
      </c>
      <c r="C94" s="646" t="s">
        <v>619</v>
      </c>
      <c r="D94" s="647" t="s">
        <v>618</v>
      </c>
      <c r="E94" s="648"/>
      <c r="F94" s="650">
        <f>G83-H85-I83-'Звіт 1,2,3'!J40/1000</f>
        <v>197.39999999999998</v>
      </c>
      <c r="J94" s="403"/>
      <c r="K94" s="438"/>
      <c r="L94" s="41"/>
    </row>
    <row r="95" spans="2:17" ht="23.25" customHeight="1" x14ac:dyDescent="0.25">
      <c r="B95" s="645"/>
      <c r="C95" s="651"/>
      <c r="D95" s="652"/>
      <c r="E95" s="653"/>
      <c r="F95" s="650"/>
      <c r="G95" s="403"/>
      <c r="H95" s="403"/>
      <c r="I95" s="403"/>
      <c r="J95" s="403"/>
      <c r="K95" s="438"/>
      <c r="L95" s="41"/>
    </row>
    <row r="96" spans="2:17" ht="23.25" customHeight="1" x14ac:dyDescent="0.25">
      <c r="B96" s="463"/>
      <c r="D96" s="307"/>
      <c r="E96" s="308"/>
      <c r="F96" s="309"/>
      <c r="G96" s="403"/>
      <c r="H96" s="403"/>
      <c r="I96" s="403"/>
      <c r="J96" s="403"/>
      <c r="K96" s="438"/>
      <c r="L96" s="41"/>
    </row>
    <row r="97" spans="2:12" ht="23.25" customHeight="1" x14ac:dyDescent="0.25">
      <c r="B97" s="763"/>
      <c r="L97" s="41"/>
    </row>
    <row r="98" spans="2:12" ht="23.25" customHeight="1" x14ac:dyDescent="0.25">
      <c r="B98" s="763"/>
      <c r="L98" s="41"/>
    </row>
    <row r="99" spans="2:12" ht="23.25" customHeight="1" x14ac:dyDescent="0.25">
      <c r="L99" s="41"/>
    </row>
    <row r="100" spans="2:12" ht="44.25" customHeight="1" x14ac:dyDescent="0.25">
      <c r="C100" s="310"/>
      <c r="D100" s="439"/>
      <c r="E100" s="64"/>
      <c r="F100" s="439"/>
    </row>
    <row r="101" spans="2:12" ht="23.25" customHeight="1" x14ac:dyDescent="0.25">
      <c r="C101" s="310"/>
      <c r="D101" s="439"/>
      <c r="E101" s="64"/>
      <c r="F101" s="439"/>
      <c r="G101" s="64"/>
      <c r="H101" s="64"/>
    </row>
    <row r="102" spans="2:12" ht="33" customHeight="1" x14ac:dyDescent="0.25">
      <c r="C102" s="310"/>
      <c r="F102" s="439"/>
    </row>
    <row r="103" spans="2:12" ht="23.25" customHeight="1" x14ac:dyDescent="0.25">
      <c r="F103" s="439"/>
    </row>
    <row r="104" spans="2:12" ht="23.25" customHeight="1" x14ac:dyDescent="0.25">
      <c r="F104" s="440"/>
      <c r="G104" s="441"/>
      <c r="H104" s="64"/>
    </row>
  </sheetData>
  <sheetProtection password="FB6B" sheet="1" objects="1" scenarios="1" formatCells="0" formatColumns="0" formatRows="0"/>
  <mergeCells count="196">
    <mergeCell ref="B68:B69"/>
    <mergeCell ref="C68:C69"/>
    <mergeCell ref="D68:D69"/>
    <mergeCell ref="E68:E69"/>
    <mergeCell ref="F68:F69"/>
    <mergeCell ref="B78:B79"/>
    <mergeCell ref="B70:B71"/>
    <mergeCell ref="B86:F86"/>
    <mergeCell ref="B87:B88"/>
    <mergeCell ref="C87:C88"/>
    <mergeCell ref="D87:D88"/>
    <mergeCell ref="E87:E88"/>
    <mergeCell ref="F87:F88"/>
    <mergeCell ref="D80:D81"/>
    <mergeCell ref="E80:E81"/>
    <mergeCell ref="F80:F81"/>
    <mergeCell ref="I76:I77"/>
    <mergeCell ref="B74:B75"/>
    <mergeCell ref="C74:C75"/>
    <mergeCell ref="D74:D75"/>
    <mergeCell ref="E74:E75"/>
    <mergeCell ref="F74:F75"/>
    <mergeCell ref="C70:C71"/>
    <mergeCell ref="D70:D71"/>
    <mergeCell ref="E70:E71"/>
    <mergeCell ref="F70:F71"/>
    <mergeCell ref="B72:B73"/>
    <mergeCell ref="C72:C73"/>
    <mergeCell ref="D72:D73"/>
    <mergeCell ref="E72:E73"/>
    <mergeCell ref="F72:F73"/>
    <mergeCell ref="K82:M82"/>
    <mergeCell ref="B97:B98"/>
    <mergeCell ref="M23:R23"/>
    <mergeCell ref="B82:B83"/>
    <mergeCell ref="C82:C83"/>
    <mergeCell ref="D82:D83"/>
    <mergeCell ref="E82:E83"/>
    <mergeCell ref="F82:F83"/>
    <mergeCell ref="B84:B85"/>
    <mergeCell ref="C84:C85"/>
    <mergeCell ref="D84:D85"/>
    <mergeCell ref="E84:E85"/>
    <mergeCell ref="F84:F85"/>
    <mergeCell ref="B80:B81"/>
    <mergeCell ref="C80:C81"/>
    <mergeCell ref="B58:B59"/>
    <mergeCell ref="C58:C59"/>
    <mergeCell ref="D58:D59"/>
    <mergeCell ref="E58:E59"/>
    <mergeCell ref="F58:F59"/>
    <mergeCell ref="E64:E65"/>
    <mergeCell ref="F64:F65"/>
    <mergeCell ref="B66:B67"/>
    <mergeCell ref="C66:C67"/>
    <mergeCell ref="B54:B55"/>
    <mergeCell ref="C54:C55"/>
    <mergeCell ref="D54:D55"/>
    <mergeCell ref="E54:E55"/>
    <mergeCell ref="F54:F55"/>
    <mergeCell ref="B56:B57"/>
    <mergeCell ref="C56:C57"/>
    <mergeCell ref="D56:D57"/>
    <mergeCell ref="D60:D61"/>
    <mergeCell ref="E60:E61"/>
    <mergeCell ref="F60:F61"/>
    <mergeCell ref="E56:E57"/>
    <mergeCell ref="F56:F57"/>
    <mergeCell ref="L50:M50"/>
    <mergeCell ref="D16:E16"/>
    <mergeCell ref="D17:D18"/>
    <mergeCell ref="E17:E18"/>
    <mergeCell ref="B47:B48"/>
    <mergeCell ref="C47:C48"/>
    <mergeCell ref="D47:D48"/>
    <mergeCell ref="E47:E48"/>
    <mergeCell ref="F47:F48"/>
    <mergeCell ref="B50:B51"/>
    <mergeCell ref="C50:C51"/>
    <mergeCell ref="D50:D51"/>
    <mergeCell ref="E50:E51"/>
    <mergeCell ref="F50:F51"/>
    <mergeCell ref="B9:B10"/>
    <mergeCell ref="C9:C10"/>
    <mergeCell ref="D9:D10"/>
    <mergeCell ref="E9:E10"/>
    <mergeCell ref="F9:F10"/>
    <mergeCell ref="B13:B14"/>
    <mergeCell ref="D13:D14"/>
    <mergeCell ref="E13:E14"/>
    <mergeCell ref="F13:F14"/>
    <mergeCell ref="G1:L1"/>
    <mergeCell ref="C2:H2"/>
    <mergeCell ref="C3:H3"/>
    <mergeCell ref="G4:L4"/>
    <mergeCell ref="B6:B7"/>
    <mergeCell ref="C6:C7"/>
    <mergeCell ref="D6:D7"/>
    <mergeCell ref="E6:E7"/>
    <mergeCell ref="F6:F7"/>
    <mergeCell ref="F17:F18"/>
    <mergeCell ref="D66:D67"/>
    <mergeCell ref="E66:E67"/>
    <mergeCell ref="F66:F67"/>
    <mergeCell ref="D27:D28"/>
    <mergeCell ref="D32:D33"/>
    <mergeCell ref="E32:E33"/>
    <mergeCell ref="F32:F33"/>
    <mergeCell ref="D36:D37"/>
    <mergeCell ref="E36:E37"/>
    <mergeCell ref="F36:F37"/>
    <mergeCell ref="F25:F26"/>
    <mergeCell ref="F19:F20"/>
    <mergeCell ref="F21:F22"/>
    <mergeCell ref="D21:D22"/>
    <mergeCell ref="E21:E22"/>
    <mergeCell ref="D19:D20"/>
    <mergeCell ref="E19:E20"/>
    <mergeCell ref="D64:D65"/>
    <mergeCell ref="D52:D53"/>
    <mergeCell ref="E52:E53"/>
    <mergeCell ref="F52:F53"/>
    <mergeCell ref="E62:E63"/>
    <mergeCell ref="F62:F63"/>
    <mergeCell ref="B45:B46"/>
    <mergeCell ref="C45:C46"/>
    <mergeCell ref="D45:D46"/>
    <mergeCell ref="E45:E46"/>
    <mergeCell ref="F45:F46"/>
    <mergeCell ref="G16:H16"/>
    <mergeCell ref="J13:K14"/>
    <mergeCell ref="D78:D79"/>
    <mergeCell ref="E78:E79"/>
    <mergeCell ref="F78:F79"/>
    <mergeCell ref="C13:C14"/>
    <mergeCell ref="C21:C22"/>
    <mergeCell ref="B19:B20"/>
    <mergeCell ref="C19:C20"/>
    <mergeCell ref="B21:B22"/>
    <mergeCell ref="B64:B65"/>
    <mergeCell ref="C64:C65"/>
    <mergeCell ref="B52:B53"/>
    <mergeCell ref="C52:C53"/>
    <mergeCell ref="B62:B63"/>
    <mergeCell ref="C62:C63"/>
    <mergeCell ref="D62:D63"/>
    <mergeCell ref="B60:B61"/>
    <mergeCell ref="C60:C61"/>
    <mergeCell ref="K78:K79"/>
    <mergeCell ref="M24:R24"/>
    <mergeCell ref="G23:H23"/>
    <mergeCell ref="I23:K23"/>
    <mergeCell ref="C25:C26"/>
    <mergeCell ref="B32:B33"/>
    <mergeCell ref="C32:C33"/>
    <mergeCell ref="B36:B37"/>
    <mergeCell ref="C36:C37"/>
    <mergeCell ref="B38:B39"/>
    <mergeCell ref="C38:C39"/>
    <mergeCell ref="B40:B41"/>
    <mergeCell ref="C40:C41"/>
    <mergeCell ref="D40:D41"/>
    <mergeCell ref="E40:E41"/>
    <mergeCell ref="F40:F41"/>
    <mergeCell ref="D38:D39"/>
    <mergeCell ref="E38:E39"/>
    <mergeCell ref="F38:F39"/>
    <mergeCell ref="B42:B43"/>
    <mergeCell ref="C42:C43"/>
    <mergeCell ref="D42:D43"/>
    <mergeCell ref="E42:E43"/>
    <mergeCell ref="F42:F43"/>
    <mergeCell ref="D89:D90"/>
    <mergeCell ref="E89:E90"/>
    <mergeCell ref="F89:F90"/>
    <mergeCell ref="B89:B90"/>
    <mergeCell ref="C89:C90"/>
    <mergeCell ref="B11:B12"/>
    <mergeCell ref="C11:C12"/>
    <mergeCell ref="D11:D12"/>
    <mergeCell ref="E11:E12"/>
    <mergeCell ref="F11:F12"/>
    <mergeCell ref="E27:E28"/>
    <mergeCell ref="F27:F28"/>
    <mergeCell ref="B29:B30"/>
    <mergeCell ref="C29:C30"/>
    <mergeCell ref="D29:D30"/>
    <mergeCell ref="E29:E30"/>
    <mergeCell ref="B27:B28"/>
    <mergeCell ref="C27:C28"/>
    <mergeCell ref="F29:F30"/>
    <mergeCell ref="B17:B18"/>
    <mergeCell ref="C17:C18"/>
    <mergeCell ref="B25:B26"/>
    <mergeCell ref="D25:D26"/>
    <mergeCell ref="E25:E26"/>
  </mergeCells>
  <conditionalFormatting sqref="N81 G85 K82 I79:J79 G90 I88">
    <cfRule type="containsText" dxfId="100" priority="147" operator="containsText" text="не застосовується">
      <formula>NOT(ISERROR(SEARCH("не застосовується",G79)))</formula>
    </cfRule>
  </conditionalFormatting>
  <conditionalFormatting sqref="G83 I83">
    <cfRule type="containsText" dxfId="99" priority="146" operator="containsText" text="не застосовується">
      <formula>NOT(ISERROR(SEARCH("не застосовується",G83)))</formula>
    </cfRule>
  </conditionalFormatting>
  <conditionalFormatting sqref="M81">
    <cfRule type="containsText" dxfId="98" priority="145" operator="containsText" text="не застосовується">
      <formula>NOT(ISERROR(SEARCH("не застосовується",M81)))</formula>
    </cfRule>
  </conditionalFormatting>
  <conditionalFormatting sqref="G79 L79">
    <cfRule type="containsText" dxfId="97" priority="144" operator="containsText" text="не застосовується">
      <formula>NOT(ISERROR(SEARCH("не застосовується",G79)))</formula>
    </cfRule>
  </conditionalFormatting>
  <conditionalFormatting sqref="M79:O79">
    <cfRule type="containsText" dxfId="96" priority="142" operator="containsText" text="не застосовується">
      <formula>NOT(ISERROR(SEARCH("не застосовується",M79)))</formula>
    </cfRule>
  </conditionalFormatting>
  <conditionalFormatting sqref="H79">
    <cfRule type="containsText" dxfId="95" priority="141" operator="containsText" text="не застосовується">
      <formula>NOT(ISERROR(SEARCH("не застосовується",H79)))</formula>
    </cfRule>
  </conditionalFormatting>
  <conditionalFormatting sqref="K57 J81 K60:K76 H90">
    <cfRule type="containsText" dxfId="94" priority="138" operator="containsText" text="FALSE">
      <formula>NOT(ISERROR(SEARCH("FALSE",H57)))</formula>
    </cfRule>
    <cfRule type="containsText" dxfId="93" priority="139" operator="containsText" text="Увага">
      <formula>NOT(ISERROR(SEARCH("Увага",H57)))</formula>
    </cfRule>
    <cfRule type="containsText" dxfId="92" priority="140" operator="containsText" text="TRUE">
      <formula>NOT(ISERROR(SEARCH("TRUE",H57)))</formula>
    </cfRule>
  </conditionalFormatting>
  <conditionalFormatting sqref="P79">
    <cfRule type="containsText" dxfId="91" priority="136" operator="containsText" text="не застосовується">
      <formula>NOT(ISERROR(SEARCH("не застосовується",P79)))</formula>
    </cfRule>
  </conditionalFormatting>
  <conditionalFormatting sqref="F5:F6 F9 F11 F17 F19 F21 F29 F31 F35:F36 F38 F40 F42 F45 F50 F52 F54 F56 F58 F82 F84 F60 F62 F80">
    <cfRule type="containsText" dxfId="90" priority="135" operator="containsText" text="TRUE">
      <formula>NOT(ISERROR(SEARCH("TRUE",F5)))</formula>
    </cfRule>
  </conditionalFormatting>
  <conditionalFormatting sqref="K81">
    <cfRule type="containsText" dxfId="89" priority="130" operator="containsText" text="FALSE">
      <formula>NOT(ISERROR(SEARCH("FALSE",K81)))</formula>
    </cfRule>
    <cfRule type="containsText" dxfId="88" priority="131" operator="containsText" text="Увага">
      <formula>NOT(ISERROR(SEARCH("Увага",K81)))</formula>
    </cfRule>
    <cfRule type="containsText" dxfId="87" priority="132" operator="containsText" text="TRUE">
      <formula>NOT(ISERROR(SEARCH("TRUE",K81)))</formula>
    </cfRule>
  </conditionalFormatting>
  <conditionalFormatting sqref="I15:I16">
    <cfRule type="cellIs" dxfId="86" priority="129" operator="equal">
      <formula>1</formula>
    </cfRule>
  </conditionalFormatting>
  <conditionalFormatting sqref="F5:F6 F9 F11 F17 F19 F21 F29 F31 F35:F36 F38 F40 F42 F45 F50 F52 F54 F56 F58 F82 F84 F60 F62 F80">
    <cfRule type="containsText" dxfId="85" priority="133" operator="containsText" text="FALSE">
      <formula>NOT(ISERROR(SEARCH("FALSE",F5)))</formula>
    </cfRule>
  </conditionalFormatting>
  <conditionalFormatting sqref="F5:F6 F9 F11 F17 F19 F21 F29 F31 F35:F36 F38 F40 F42 F45 F50 F52 F54 F56 F58 F82 F84 F60 F62 F80">
    <cfRule type="containsText" dxfId="84" priority="134" operator="containsText" text="Увага">
      <formula>NOT(ISERROR(SEARCH("Увага",F5)))</formula>
    </cfRule>
  </conditionalFormatting>
  <conditionalFormatting sqref="I11:I12">
    <cfRule type="cellIs" dxfId="83" priority="127" operator="equal">
      <formula>1</formula>
    </cfRule>
  </conditionalFormatting>
  <conditionalFormatting sqref="F32">
    <cfRule type="containsText" dxfId="82" priority="125" operator="containsText" text="TRUE">
      <formula>NOT(ISERROR(SEARCH("TRUE",F32)))</formula>
    </cfRule>
  </conditionalFormatting>
  <conditionalFormatting sqref="F32">
    <cfRule type="containsText" dxfId="81" priority="123" operator="containsText" text="FALSE">
      <formula>NOT(ISERROR(SEARCH("FALSE",F32)))</formula>
    </cfRule>
  </conditionalFormatting>
  <conditionalFormatting sqref="F32">
    <cfRule type="containsText" dxfId="80" priority="124" operator="containsText" text="Увага">
      <formula>NOT(ISERROR(SEARCH("Увага",F32)))</formula>
    </cfRule>
  </conditionalFormatting>
  <conditionalFormatting sqref="L81">
    <cfRule type="containsText" dxfId="79" priority="120" operator="containsText" text="FALSE">
      <formula>NOT(ISERROR(SEARCH("FALSE",L81)))</formula>
    </cfRule>
    <cfRule type="containsText" dxfId="78" priority="121" operator="containsText" text="Увага">
      <formula>NOT(ISERROR(SEARCH("Увага",L81)))</formula>
    </cfRule>
    <cfRule type="containsText" dxfId="77" priority="122" operator="containsText" text="TRUE">
      <formula>NOT(ISERROR(SEARCH("TRUE",L81)))</formula>
    </cfRule>
  </conditionalFormatting>
  <conditionalFormatting sqref="O81">
    <cfRule type="containsText" dxfId="76" priority="117" operator="containsText" text="FALSE">
      <formula>NOT(ISERROR(SEARCH("FALSE",O81)))</formula>
    </cfRule>
    <cfRule type="containsText" dxfId="75" priority="118" operator="containsText" text="Увага">
      <formula>NOT(ISERROR(SEARCH("Увага",O81)))</formula>
    </cfRule>
    <cfRule type="containsText" dxfId="74" priority="119" operator="containsText" text="TRUE">
      <formula>NOT(ISERROR(SEARCH("TRUE",O81)))</formula>
    </cfRule>
  </conditionalFormatting>
  <conditionalFormatting sqref="H83">
    <cfRule type="containsText" dxfId="73" priority="114" operator="containsText" text="FALSE">
      <formula>NOT(ISERROR(SEARCH("FALSE",H83)))</formula>
    </cfRule>
    <cfRule type="containsText" dxfId="72" priority="115" operator="containsText" text="Увага">
      <formula>NOT(ISERROR(SEARCH("Увага",H83)))</formula>
    </cfRule>
    <cfRule type="containsText" dxfId="71" priority="116" operator="containsText" text="TRUE">
      <formula>NOT(ISERROR(SEARCH("TRUE",H83)))</formula>
    </cfRule>
  </conditionalFormatting>
  <conditionalFormatting sqref="H85">
    <cfRule type="containsText" dxfId="70" priority="111" operator="containsText" text="FALSE">
      <formula>NOT(ISERROR(SEARCH("FALSE",H85)))</formula>
    </cfRule>
    <cfRule type="containsText" dxfId="69" priority="112" operator="containsText" text="Увага">
      <formula>NOT(ISERROR(SEARCH("Увага",H85)))</formula>
    </cfRule>
    <cfRule type="containsText" dxfId="68" priority="113" operator="containsText" text="TRUE">
      <formula>NOT(ISERROR(SEARCH("TRUE",H85)))</formula>
    </cfRule>
  </conditionalFormatting>
  <conditionalFormatting sqref="G81">
    <cfRule type="containsText" dxfId="67" priority="110" operator="containsText" text="не застосовується">
      <formula>NOT(ISERROR(SEARCH("не застосовується",G81)))</formula>
    </cfRule>
  </conditionalFormatting>
  <conditionalFormatting sqref="I81">
    <cfRule type="containsText" dxfId="66" priority="109" operator="containsText" text="не застосовується">
      <formula>NOT(ISERROR(SEARCH("не застосовується",I81)))</formula>
    </cfRule>
  </conditionalFormatting>
  <conditionalFormatting sqref="H81">
    <cfRule type="containsText" dxfId="65" priority="108" operator="containsText" text="не застосовується">
      <formula>NOT(ISERROR(SEARCH("не застосовується",H81)))</formula>
    </cfRule>
  </conditionalFormatting>
  <conditionalFormatting sqref="F25 F27">
    <cfRule type="containsText" dxfId="64" priority="107" operator="containsText" text="TRUE">
      <formula>NOT(ISERROR(SEARCH("TRUE",F25)))</formula>
    </cfRule>
  </conditionalFormatting>
  <conditionalFormatting sqref="F25 F27">
    <cfRule type="containsText" dxfId="63" priority="105" operator="containsText" text="FALSE">
      <formula>NOT(ISERROR(SEARCH("FALSE",F25)))</formula>
    </cfRule>
  </conditionalFormatting>
  <conditionalFormatting sqref="F25 F27">
    <cfRule type="containsText" dxfId="62" priority="106" operator="containsText" text="Увага">
      <formula>NOT(ISERROR(SEARCH("Увага",F25)))</formula>
    </cfRule>
  </conditionalFormatting>
  <conditionalFormatting sqref="F47">
    <cfRule type="containsText" dxfId="61" priority="104" operator="containsText" text="TRUE">
      <formula>NOT(ISERROR(SEARCH("TRUE",F47)))</formula>
    </cfRule>
  </conditionalFormatting>
  <conditionalFormatting sqref="F47">
    <cfRule type="containsText" dxfId="60" priority="102" operator="containsText" text="FALSE">
      <formula>NOT(ISERROR(SEARCH("FALSE",F47)))</formula>
    </cfRule>
  </conditionalFormatting>
  <conditionalFormatting sqref="F47">
    <cfRule type="containsText" dxfId="59" priority="103" operator="containsText" text="Увага">
      <formula>NOT(ISERROR(SEARCH("Увага",F47)))</formula>
    </cfRule>
  </conditionalFormatting>
  <conditionalFormatting sqref="F72 F74">
    <cfRule type="containsText" dxfId="58" priority="74" operator="containsText" text="TRUE">
      <formula>NOT(ISERROR(SEARCH("TRUE",F72)))</formula>
    </cfRule>
  </conditionalFormatting>
  <conditionalFormatting sqref="F72 F74">
    <cfRule type="containsText" dxfId="57" priority="72" operator="containsText" text="FALSE">
      <formula>NOT(ISERROR(SEARCH("FALSE",F72)))</formula>
    </cfRule>
  </conditionalFormatting>
  <conditionalFormatting sqref="F72 F74">
    <cfRule type="containsText" dxfId="56" priority="73" operator="containsText" text="Увага">
      <formula>NOT(ISERROR(SEARCH("Увага",F72)))</formula>
    </cfRule>
  </conditionalFormatting>
  <conditionalFormatting sqref="F70">
    <cfRule type="containsText" dxfId="55" priority="77" operator="containsText" text="TRUE">
      <formula>NOT(ISERROR(SEARCH("TRUE",F70)))</formula>
    </cfRule>
  </conditionalFormatting>
  <conditionalFormatting sqref="F70">
    <cfRule type="containsText" dxfId="54" priority="75" operator="containsText" text="FALSE">
      <formula>NOT(ISERROR(SEARCH("FALSE",F70)))</formula>
    </cfRule>
  </conditionalFormatting>
  <conditionalFormatting sqref="F70">
    <cfRule type="containsText" dxfId="53" priority="76" operator="containsText" text="Увага">
      <formula>NOT(ISERROR(SEARCH("Увага",F70)))</formula>
    </cfRule>
  </conditionalFormatting>
  <conditionalFormatting sqref="F64">
    <cfRule type="containsText" dxfId="52" priority="71" operator="containsText" text="TRUE">
      <formula>NOT(ISERROR(SEARCH("TRUE",F64)))</formula>
    </cfRule>
  </conditionalFormatting>
  <conditionalFormatting sqref="F64">
    <cfRule type="containsText" dxfId="51" priority="69" operator="containsText" text="FALSE">
      <formula>NOT(ISERROR(SEARCH("FALSE",F64)))</formula>
    </cfRule>
  </conditionalFormatting>
  <conditionalFormatting sqref="F64">
    <cfRule type="containsText" dxfId="50" priority="70" operator="containsText" text="Увага">
      <formula>NOT(ISERROR(SEARCH("Увага",F64)))</formula>
    </cfRule>
  </conditionalFormatting>
  <conditionalFormatting sqref="F66 F68">
    <cfRule type="containsText" dxfId="49" priority="66" operator="containsText" text="FALSE">
      <formula>NOT(ISERROR(SEARCH("FALSE",F66)))</formula>
    </cfRule>
  </conditionalFormatting>
  <conditionalFormatting sqref="F66 F68">
    <cfRule type="containsText" dxfId="48" priority="68" operator="containsText" text="TRUE">
      <formula>NOT(ISERROR(SEARCH("TRUE",F66)))</formula>
    </cfRule>
  </conditionalFormatting>
  <conditionalFormatting sqref="F66 F68">
    <cfRule type="containsText" dxfId="47" priority="67" operator="containsText" text="Увага">
      <formula>NOT(ISERROR(SEARCH("Увага",F66)))</formula>
    </cfRule>
  </conditionalFormatting>
  <conditionalFormatting sqref="Q82">
    <cfRule type="containsText" dxfId="46" priority="63" operator="containsText" text="FALSE">
      <formula>NOT(ISERROR(SEARCH("FALSE",Q82)))</formula>
    </cfRule>
    <cfRule type="containsText" dxfId="45" priority="64" operator="containsText" text="Увага">
      <formula>NOT(ISERROR(SEARCH("Увага",Q82)))</formula>
    </cfRule>
    <cfRule type="containsText" dxfId="44" priority="65" operator="containsText" text="TRUE">
      <formula>NOT(ISERROR(SEARCH("TRUE",Q82)))</formula>
    </cfRule>
  </conditionalFormatting>
  <conditionalFormatting sqref="F24">
    <cfRule type="containsText" dxfId="43" priority="57" operator="containsText" text="TRUE">
      <formula>NOT(ISERROR(SEARCH("TRUE",F24)))</formula>
    </cfRule>
  </conditionalFormatting>
  <conditionalFormatting sqref="F24">
    <cfRule type="containsText" dxfId="42" priority="55" operator="containsText" text="FALSE">
      <formula>NOT(ISERROR(SEARCH("FALSE",F24)))</formula>
    </cfRule>
  </conditionalFormatting>
  <conditionalFormatting sqref="F24">
    <cfRule type="containsText" dxfId="41" priority="56" operator="containsText" text="Увага">
      <formula>NOT(ISERROR(SEARCH("Увага",F24)))</formula>
    </cfRule>
  </conditionalFormatting>
  <conditionalFormatting sqref="F76">
    <cfRule type="containsText" dxfId="40" priority="54" operator="containsText" text="TRUE">
      <formula>NOT(ISERROR(SEARCH("TRUE",F76)))</formula>
    </cfRule>
  </conditionalFormatting>
  <conditionalFormatting sqref="F76">
    <cfRule type="containsText" dxfId="39" priority="52" operator="containsText" text="FALSE">
      <formula>NOT(ISERROR(SEARCH("FALSE",F76)))</formula>
    </cfRule>
  </conditionalFormatting>
  <conditionalFormatting sqref="F76">
    <cfRule type="containsText" dxfId="38" priority="53" operator="containsText" text="Увага">
      <formula>NOT(ISERROR(SEARCH("Увага",F76)))</formula>
    </cfRule>
  </conditionalFormatting>
  <conditionalFormatting sqref="F78">
    <cfRule type="containsText" dxfId="37" priority="51" operator="containsText" text="TRUE">
      <formula>NOT(ISERROR(SEARCH("TRUE",F78)))</formula>
    </cfRule>
  </conditionalFormatting>
  <conditionalFormatting sqref="F78">
    <cfRule type="containsText" dxfId="36" priority="49" operator="containsText" text="FALSE">
      <formula>NOT(ISERROR(SEARCH("FALSE",F78)))</formula>
    </cfRule>
  </conditionalFormatting>
  <conditionalFormatting sqref="F78">
    <cfRule type="containsText" dxfId="35" priority="50" operator="containsText" text="Увага">
      <formula>NOT(ISERROR(SEARCH("Увага",F78)))</formula>
    </cfRule>
  </conditionalFormatting>
  <conditionalFormatting sqref="F8">
    <cfRule type="containsText" dxfId="34" priority="40" operator="containsText" text="FALSE">
      <formula>NOT(ISERROR(SEARCH("FALSE",F8)))</formula>
    </cfRule>
  </conditionalFormatting>
  <conditionalFormatting sqref="F15">
    <cfRule type="containsText" dxfId="33" priority="45" operator="containsText" text="TRUE">
      <formula>NOT(ISERROR(SEARCH("TRUE",F15)))</formula>
    </cfRule>
  </conditionalFormatting>
  <conditionalFormatting sqref="F15">
    <cfRule type="containsText" dxfId="32" priority="43" operator="containsText" text="FALSE">
      <formula>NOT(ISERROR(SEARCH("FALSE",F15)))</formula>
    </cfRule>
  </conditionalFormatting>
  <conditionalFormatting sqref="F15">
    <cfRule type="containsText" dxfId="31" priority="44" operator="containsText" text="Увага">
      <formula>NOT(ISERROR(SEARCH("Увага",F15)))</formula>
    </cfRule>
  </conditionalFormatting>
  <conditionalFormatting sqref="F8">
    <cfRule type="containsText" dxfId="30" priority="42" operator="containsText" text="TRUE">
      <formula>NOT(ISERROR(SEARCH("TRUE",F8)))</formula>
    </cfRule>
  </conditionalFormatting>
  <conditionalFormatting sqref="F8">
    <cfRule type="containsText" dxfId="29" priority="41" operator="containsText" text="Увага">
      <formula>NOT(ISERROR(SEARCH("Увага",F8)))</formula>
    </cfRule>
  </conditionalFormatting>
  <conditionalFormatting sqref="F91 F93">
    <cfRule type="containsText" dxfId="28" priority="39" operator="containsText" text="не застосовується">
      <formula>NOT(ISERROR(SEARCH("не застосовується",F91)))</formula>
    </cfRule>
  </conditionalFormatting>
  <conditionalFormatting sqref="F94">
    <cfRule type="containsText" dxfId="27" priority="32" operator="containsText" text="FALSE">
      <formula>NOT(ISERROR(SEARCH("FALSE",F94)))</formula>
    </cfRule>
    <cfRule type="containsText" dxfId="26" priority="33" operator="containsText" text="Увага">
      <formula>NOT(ISERROR(SEARCH("Увага",F94)))</formula>
    </cfRule>
    <cfRule type="containsText" dxfId="25" priority="34" operator="containsText" text="TRUE">
      <formula>NOT(ISERROR(SEARCH("TRUE",F94)))</formula>
    </cfRule>
  </conditionalFormatting>
  <conditionalFormatting sqref="F92">
    <cfRule type="containsText" dxfId="24" priority="29" operator="containsText" text="FALSE">
      <formula>NOT(ISERROR(SEARCH("FALSE",F92)))</formula>
    </cfRule>
    <cfRule type="containsText" dxfId="23" priority="30" operator="containsText" text="Увага">
      <formula>NOT(ISERROR(SEARCH("Увага",F92)))</formula>
    </cfRule>
    <cfRule type="containsText" dxfId="22" priority="31" operator="containsText" text="TRUE">
      <formula>NOT(ISERROR(SEARCH("TRUE",F92)))</formula>
    </cfRule>
  </conditionalFormatting>
  <conditionalFormatting sqref="F16">
    <cfRule type="cellIs" dxfId="21" priority="28" operator="equal">
      <formula>1</formula>
    </cfRule>
  </conditionalFormatting>
  <conditionalFormatting sqref="I14">
    <cfRule type="cellIs" dxfId="20" priority="26" operator="equal">
      <formula>1</formula>
    </cfRule>
  </conditionalFormatting>
  <conditionalFormatting sqref="P13:P14">
    <cfRule type="containsText" dxfId="19" priority="27" operator="containsText" text="FALSE">
      <formula>NOT(ISERROR(SEARCH("FALSE",P13)))</formula>
    </cfRule>
  </conditionalFormatting>
  <conditionalFormatting sqref="I13">
    <cfRule type="cellIs" dxfId="18" priority="24" operator="equal">
      <formula>1</formula>
    </cfRule>
  </conditionalFormatting>
  <conditionalFormatting sqref="F13">
    <cfRule type="containsText" dxfId="17" priority="20" operator="containsText" text="FALSE">
      <formula>NOT(ISERROR(SEARCH("FALSE",F13)))</formula>
    </cfRule>
  </conditionalFormatting>
  <conditionalFormatting sqref="F13">
    <cfRule type="containsText" dxfId="16" priority="22" operator="containsText" text="TRUE">
      <formula>NOT(ISERROR(SEARCH("TRUE",F13)))</formula>
    </cfRule>
  </conditionalFormatting>
  <conditionalFormatting sqref="F13">
    <cfRule type="containsText" dxfId="15" priority="21" operator="containsText" text="Увага">
      <formula>NOT(ISERROR(SEARCH("Увага",F13)))</formula>
    </cfRule>
  </conditionalFormatting>
  <conditionalFormatting sqref="G88">
    <cfRule type="containsText" dxfId="14" priority="19" operator="containsText" text="не застосовується">
      <formula>NOT(ISERROR(SEARCH("не застосовується",G88)))</formula>
    </cfRule>
  </conditionalFormatting>
  <conditionalFormatting sqref="H88">
    <cfRule type="containsText" dxfId="13" priority="18" operator="containsText" text="не застосовується">
      <formula>NOT(ISERROR(SEARCH("не застосовується",H88)))</formula>
    </cfRule>
  </conditionalFormatting>
  <conditionalFormatting sqref="J88">
    <cfRule type="containsText" dxfId="12" priority="17" operator="containsText" text="не застосовується">
      <formula>NOT(ISERROR(SEARCH("не застосовується",J88)))</formula>
    </cfRule>
  </conditionalFormatting>
  <conditionalFormatting sqref="K88">
    <cfRule type="containsText" dxfId="11" priority="16" operator="containsText" text="не застосовується">
      <formula>NOT(ISERROR(SEARCH("не застосовується",K88)))</formula>
    </cfRule>
  </conditionalFormatting>
  <conditionalFormatting sqref="L88">
    <cfRule type="containsText" dxfId="10" priority="12" operator="containsText" text="не застосовується">
      <formula>NOT(ISERROR(SEARCH("не застосовується",L88)))</formula>
    </cfRule>
  </conditionalFormatting>
  <conditionalFormatting sqref="F87">
    <cfRule type="containsText" dxfId="9" priority="11" operator="containsText" text="TRUE">
      <formula>NOT(ISERROR(SEARCH("TRUE",F87)))</formula>
    </cfRule>
  </conditionalFormatting>
  <conditionalFormatting sqref="F87">
    <cfRule type="containsText" dxfId="8" priority="9" operator="containsText" text="FALSE">
      <formula>NOT(ISERROR(SEARCH("FALSE",F87)))</formula>
    </cfRule>
  </conditionalFormatting>
  <conditionalFormatting sqref="F87">
    <cfRule type="containsText" dxfId="7" priority="10" operator="containsText" text="Увага">
      <formula>NOT(ISERROR(SEARCH("Увага",F87)))</formula>
    </cfRule>
  </conditionalFormatting>
  <conditionalFormatting sqref="F89">
    <cfRule type="containsText" dxfId="6" priority="8" operator="containsText" text="TRUE">
      <formula>NOT(ISERROR(SEARCH("TRUE",F89)))</formula>
    </cfRule>
  </conditionalFormatting>
  <conditionalFormatting sqref="F89">
    <cfRule type="containsText" dxfId="5" priority="6" operator="containsText" text="FALSE">
      <formula>NOT(ISERROR(SEARCH("FALSE",F89)))</formula>
    </cfRule>
  </conditionalFormatting>
  <conditionalFormatting sqref="F89">
    <cfRule type="containsText" dxfId="4" priority="7" operator="containsText" text="Увага">
      <formula>NOT(ISERROR(SEARCH("Увага",F89)))</formula>
    </cfRule>
  </conditionalFormatting>
  <conditionalFormatting sqref="J2">
    <cfRule type="containsText" dxfId="3" priority="1" operator="containsText" text="Зелена">
      <formula>NOT(ISERROR(SEARCH("Зелена",J2)))</formula>
    </cfRule>
    <cfRule type="containsText" dxfId="2" priority="2" operator="containsText" text="Жовта">
      <formula>NOT(ISERROR(SEARCH("Жовта",J2)))</formula>
    </cfRule>
    <cfRule type="containsText" dxfId="1" priority="3" operator="containsText" text="Синя">
      <formula>NOT(ISERROR(SEARCH("Синя",J2)))</formula>
    </cfRule>
    <cfRule type="containsText" dxfId="0" priority="4" operator="containsText" text="Червона">
      <formula>NOT(ISERROR(SEARCH("Червона",J2)))</formula>
    </cfRule>
  </conditionalFormatting>
  <pageMargins left="0.7" right="0.7" top="0.75" bottom="0.75" header="0.3" footer="0.3"/>
  <pageSetup paperSize="9" scale="1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9"/>
  <dimension ref="A2:BA7"/>
  <sheetViews>
    <sheetView workbookViewId="0">
      <selection sqref="A1:BA10"/>
    </sheetView>
  </sheetViews>
  <sheetFormatPr defaultRowHeight="15" x14ac:dyDescent="0.25"/>
  <cols>
    <col min="6" max="6" width="12.140625" customWidth="1"/>
    <col min="7" max="7" width="13" customWidth="1"/>
    <col min="9" max="11" width="25.140625" customWidth="1"/>
  </cols>
  <sheetData>
    <row r="2" spans="1:53" x14ac:dyDescent="0.25">
      <c r="F2" t="s">
        <v>661</v>
      </c>
      <c r="G2" t="s">
        <v>662</v>
      </c>
      <c r="H2" t="s">
        <v>663</v>
      </c>
      <c r="I2" t="s">
        <v>664</v>
      </c>
      <c r="J2" t="s">
        <v>721</v>
      </c>
      <c r="L2" t="s">
        <v>626</v>
      </c>
      <c r="M2" t="s">
        <v>665</v>
      </c>
      <c r="N2" t="s">
        <v>695</v>
      </c>
      <c r="O2" t="s">
        <v>696</v>
      </c>
      <c r="P2" t="s">
        <v>667</v>
      </c>
      <c r="Q2" t="s">
        <v>639</v>
      </c>
      <c r="R2" t="s">
        <v>660</v>
      </c>
      <c r="S2" t="s">
        <v>669</v>
      </c>
      <c r="T2" t="s">
        <v>657</v>
      </c>
      <c r="U2" t="s">
        <v>658</v>
      </c>
      <c r="V2" t="s">
        <v>659</v>
      </c>
      <c r="W2" t="s">
        <v>640</v>
      </c>
      <c r="X2" t="s">
        <v>627</v>
      </c>
      <c r="Y2" t="s">
        <v>628</v>
      </c>
      <c r="Z2" t="s">
        <v>666</v>
      </c>
      <c r="AA2" t="s">
        <v>629</v>
      </c>
      <c r="AB2" t="s">
        <v>630</v>
      </c>
      <c r="AC2" t="s">
        <v>631</v>
      </c>
      <c r="AD2" t="s">
        <v>668</v>
      </c>
      <c r="AE2" t="s">
        <v>632</v>
      </c>
      <c r="AF2" t="s">
        <v>633</v>
      </c>
      <c r="AG2" t="s">
        <v>634</v>
      </c>
      <c r="AH2" t="s">
        <v>635</v>
      </c>
      <c r="AI2" t="s">
        <v>636</v>
      </c>
      <c r="AJ2" t="s">
        <v>637</v>
      </c>
      <c r="AK2" t="s">
        <v>638</v>
      </c>
      <c r="AL2" t="s">
        <v>641</v>
      </c>
      <c r="AM2" t="s">
        <v>642</v>
      </c>
      <c r="AN2" t="s">
        <v>643</v>
      </c>
      <c r="AO2" t="s">
        <v>644</v>
      </c>
      <c r="AP2" t="s">
        <v>645</v>
      </c>
      <c r="AQ2" t="s">
        <v>646</v>
      </c>
      <c r="AR2" t="s">
        <v>647</v>
      </c>
      <c r="AS2" t="s">
        <v>648</v>
      </c>
      <c r="AT2" t="s">
        <v>649</v>
      </c>
      <c r="AU2" t="s">
        <v>650</v>
      </c>
      <c r="AV2" t="s">
        <v>651</v>
      </c>
      <c r="AW2" t="s">
        <v>652</v>
      </c>
      <c r="AX2" t="s">
        <v>653</v>
      </c>
      <c r="AY2" t="s">
        <v>654</v>
      </c>
      <c r="AZ2" t="s">
        <v>655</v>
      </c>
      <c r="BA2" t="s">
        <v>656</v>
      </c>
    </row>
    <row r="3" spans="1:53" x14ac:dyDescent="0.25">
      <c r="E3" t="s">
        <v>720</v>
      </c>
      <c r="F3" t="s">
        <v>611</v>
      </c>
      <c r="G3" t="s">
        <v>612</v>
      </c>
      <c r="H3" t="s">
        <v>609</v>
      </c>
      <c r="I3" t="s">
        <v>619</v>
      </c>
      <c r="J3" t="s">
        <v>722</v>
      </c>
      <c r="K3" t="s">
        <v>723</v>
      </c>
      <c r="L3" t="s">
        <v>518</v>
      </c>
      <c r="M3" t="s">
        <v>610</v>
      </c>
      <c r="N3" t="s">
        <v>702</v>
      </c>
      <c r="O3" t="s">
        <v>703</v>
      </c>
      <c r="P3" t="s">
        <v>608</v>
      </c>
      <c r="Q3" t="s">
        <v>605</v>
      </c>
      <c r="R3" t="s">
        <v>607</v>
      </c>
      <c r="S3" t="s">
        <v>670</v>
      </c>
      <c r="T3" t="s">
        <v>718</v>
      </c>
      <c r="U3" t="s">
        <v>719</v>
      </c>
      <c r="V3" t="s">
        <v>617</v>
      </c>
      <c r="W3" t="s">
        <v>604</v>
      </c>
      <c r="X3" t="s">
        <v>511</v>
      </c>
      <c r="Y3" t="s">
        <v>624</v>
      </c>
      <c r="Z3" t="s">
        <v>692</v>
      </c>
      <c r="AA3" t="s">
        <v>694</v>
      </c>
      <c r="AB3" t="s">
        <v>514</v>
      </c>
      <c r="AC3" s="640" t="s">
        <v>475</v>
      </c>
      <c r="AD3" t="s">
        <v>614</v>
      </c>
      <c r="AE3" t="s">
        <v>691</v>
      </c>
      <c r="AF3" t="s">
        <v>481</v>
      </c>
      <c r="AG3" t="s">
        <v>484</v>
      </c>
      <c r="AH3" t="s">
        <v>485</v>
      </c>
      <c r="AI3" t="s">
        <v>486</v>
      </c>
      <c r="AJ3" t="s">
        <v>490</v>
      </c>
      <c r="AK3" t="s">
        <v>491</v>
      </c>
      <c r="AL3" t="s">
        <v>693</v>
      </c>
      <c r="AM3" t="s">
        <v>493</v>
      </c>
      <c r="AN3" t="s">
        <v>551</v>
      </c>
      <c r="AO3" t="s">
        <v>573</v>
      </c>
      <c r="AP3" t="s">
        <v>569</v>
      </c>
      <c r="AQ3" t="s">
        <v>568</v>
      </c>
      <c r="AR3" t="s">
        <v>572</v>
      </c>
      <c r="AS3" t="s">
        <v>570</v>
      </c>
      <c r="AT3" t="s">
        <v>575</v>
      </c>
      <c r="AU3" t="s">
        <v>594</v>
      </c>
      <c r="AV3" t="s">
        <v>580</v>
      </c>
      <c r="AW3" t="s">
        <v>595</v>
      </c>
      <c r="AX3" t="s">
        <v>599</v>
      </c>
      <c r="AY3" t="s">
        <v>596</v>
      </c>
      <c r="AZ3" t="s">
        <v>597</v>
      </c>
      <c r="BA3" t="s">
        <v>592</v>
      </c>
    </row>
    <row r="4" spans="1:53" x14ac:dyDescent="0.25">
      <c r="L4" s="640" t="b">
        <f>'Автоперевірка 2'!F6</f>
        <v>1</v>
      </c>
      <c r="M4" s="640" t="b">
        <f>'Автоперевірка 2'!F8</f>
        <v>1</v>
      </c>
      <c r="N4" s="640" t="b">
        <f>'Автоперевірка 2'!F87</f>
        <v>1</v>
      </c>
      <c r="O4" s="640" t="b">
        <f>'Автоперевірка 2'!F89</f>
        <v>1</v>
      </c>
      <c r="P4" s="640" t="b">
        <f>'Автоперевірка 2'!F15</f>
        <v>1</v>
      </c>
      <c r="Q4" s="640" t="b">
        <f>'Автоперевірка 2'!F38</f>
        <v>1</v>
      </c>
      <c r="R4" s="640" t="b">
        <f>'Автоперевірка 2'!F84</f>
        <v>1</v>
      </c>
      <c r="S4" s="640" t="b">
        <f>'Автоперевірка 2'!F76</f>
        <v>1</v>
      </c>
      <c r="T4" s="640" t="b">
        <f>'Автоперевірка 2'!F78</f>
        <v>1</v>
      </c>
      <c r="U4" s="640" t="b">
        <f>'Автоперевірка 2'!F80</f>
        <v>1</v>
      </c>
      <c r="V4" s="640" t="b">
        <f>'Автоперевірка 2'!F82</f>
        <v>1</v>
      </c>
      <c r="W4" s="640" t="str">
        <f>'Автоперевірка 2'!F40</f>
        <v>Увага</v>
      </c>
      <c r="X4" s="640" t="b">
        <f>'Автоперевірка 2'!F9</f>
        <v>1</v>
      </c>
      <c r="Y4" s="640" t="b">
        <f>'Автоперевірка 2'!F11</f>
        <v>1</v>
      </c>
      <c r="Z4" t="b">
        <f>'Автоперевірка 2'!F13</f>
        <v>1</v>
      </c>
      <c r="AA4" s="640" t="b">
        <f>'Автоперевірка 2'!F17</f>
        <v>1</v>
      </c>
      <c r="AB4" s="640" t="b">
        <f>'Автоперевірка 2'!F19</f>
        <v>1</v>
      </c>
      <c r="AC4" s="640" t="b">
        <f>'Автоперевірка 2'!F21</f>
        <v>1</v>
      </c>
      <c r="AD4" t="b">
        <f>'Автоперевірка 2'!F24</f>
        <v>1</v>
      </c>
      <c r="AE4" s="640" t="b">
        <f>'Автоперевірка 2'!F25</f>
        <v>1</v>
      </c>
      <c r="AF4" s="640" t="b">
        <f>'Автоперевірка 2'!F27</f>
        <v>1</v>
      </c>
      <c r="AG4" s="640" t="b">
        <f>'Автоперевірка 2'!F29</f>
        <v>1</v>
      </c>
      <c r="AH4" s="640" t="b">
        <f>'Автоперевірка 2'!F31</f>
        <v>1</v>
      </c>
      <c r="AI4" s="640" t="b">
        <f>'Автоперевірка 2'!F32</f>
        <v>1</v>
      </c>
      <c r="AJ4" s="640" t="b">
        <f>'Автоперевірка 2'!F35</f>
        <v>1</v>
      </c>
      <c r="AK4" s="640" t="b">
        <f>'Автоперевірка 2'!F36</f>
        <v>1</v>
      </c>
      <c r="AL4" s="640" t="b">
        <f>'Автоперевірка 2'!F42</f>
        <v>1</v>
      </c>
      <c r="AM4" s="640" t="b">
        <f>'Автоперевірка 2'!F45</f>
        <v>1</v>
      </c>
      <c r="AN4" s="640" t="b">
        <f>'Автоперевірка 2'!F47</f>
        <v>1</v>
      </c>
      <c r="AO4" s="640" t="b">
        <f>'Автоперевірка 2'!F50</f>
        <v>1</v>
      </c>
      <c r="AP4" s="640" t="b">
        <f>'Автоперевірка 2'!F52</f>
        <v>1</v>
      </c>
      <c r="AQ4" s="640" t="b">
        <f>'Автоперевірка 2'!F54</f>
        <v>1</v>
      </c>
      <c r="AR4" s="640" t="b">
        <f>'Автоперевірка 2'!F56</f>
        <v>1</v>
      </c>
      <c r="AS4" s="640" t="b">
        <f>'Автоперевірка 2'!F58</f>
        <v>1</v>
      </c>
      <c r="AT4" s="640" t="b">
        <f>'Автоперевірка 2'!F60</f>
        <v>1</v>
      </c>
      <c r="AU4" s="640" t="b">
        <f>'Автоперевірка 2'!F62</f>
        <v>1</v>
      </c>
      <c r="AV4" s="640" t="b">
        <f>'Автоперевірка 2'!F64</f>
        <v>1</v>
      </c>
      <c r="AW4" s="640" t="b">
        <f>'Автоперевірка 2'!F66</f>
        <v>1</v>
      </c>
      <c r="AX4" s="640" t="b">
        <f>'Автоперевірка 2'!F68</f>
        <v>1</v>
      </c>
      <c r="AY4" s="640" t="b">
        <f>'Автоперевірка 2'!F70</f>
        <v>1</v>
      </c>
      <c r="AZ4" s="640" t="b">
        <f>'Автоперевірка 2'!F72</f>
        <v>1</v>
      </c>
      <c r="BA4" s="640" t="b">
        <f>'Автоперевірка 2'!F74</f>
        <v>1</v>
      </c>
    </row>
    <row r="5" spans="1:53" x14ac:dyDescent="0.25">
      <c r="A5">
        <f>'Автоперевірка 2'!D1</f>
        <v>37650571</v>
      </c>
      <c r="E5" t="str">
        <f>U7</f>
        <v>Синя</v>
      </c>
      <c r="F5" s="640">
        <f>'Автоперевірка 2'!F91</f>
        <v>557.79999999999995</v>
      </c>
      <c r="G5" s="640">
        <f>'Автоперевірка 2'!F92</f>
        <v>570.5</v>
      </c>
      <c r="H5" s="640">
        <f>'Автоперевірка 2'!F93</f>
        <v>713.4</v>
      </c>
      <c r="I5" s="640">
        <f>'Автоперевірка 2'!F94</f>
        <v>197.39999999999998</v>
      </c>
      <c r="J5" s="640">
        <f>'Звіт   9'!E50</f>
        <v>441.3</v>
      </c>
      <c r="K5" s="640">
        <f>'Звіт   9'!G50</f>
        <v>441.3</v>
      </c>
      <c r="L5">
        <f>IF(L4=TRUE,1,0)</f>
        <v>1</v>
      </c>
      <c r="M5">
        <f t="shared" ref="M5:W5" si="0">IF(M4=TRUE,1,0)</f>
        <v>1</v>
      </c>
      <c r="N5">
        <f>IF(N4=TRUE,1,0)</f>
        <v>1</v>
      </c>
      <c r="O5">
        <f>IF(O4=TRUE,1,0)</f>
        <v>1</v>
      </c>
      <c r="P5">
        <f t="shared" si="0"/>
        <v>1</v>
      </c>
      <c r="Q5">
        <f t="shared" si="0"/>
        <v>1</v>
      </c>
      <c r="R5">
        <f t="shared" si="0"/>
        <v>1</v>
      </c>
      <c r="S5">
        <f t="shared" si="0"/>
        <v>1</v>
      </c>
      <c r="T5">
        <f t="shared" si="0"/>
        <v>1</v>
      </c>
      <c r="U5">
        <f t="shared" si="0"/>
        <v>1</v>
      </c>
      <c r="V5">
        <f t="shared" si="0"/>
        <v>1</v>
      </c>
      <c r="W5">
        <f t="shared" si="0"/>
        <v>0</v>
      </c>
      <c r="X5">
        <f>IF(X4=TRUE,1,0)</f>
        <v>1</v>
      </c>
      <c r="Y5">
        <f>IF(Y4=TRUE,1,0)</f>
        <v>1</v>
      </c>
      <c r="Z5">
        <f>IF(Z4=TRUE,1,0)</f>
        <v>1</v>
      </c>
      <c r="AA5">
        <f>IF(OR(AA4=TRUE,AA4="Увага"),1,0)</f>
        <v>1</v>
      </c>
      <c r="AB5">
        <f>IF(OR(AB4=TRUE,AB4="Увага"),1,0)</f>
        <v>1</v>
      </c>
      <c r="AC5">
        <f t="shared" ref="AC5:BA5" si="1">IF(AC4=TRUE,1,0)</f>
        <v>1</v>
      </c>
      <c r="AD5">
        <f t="shared" si="1"/>
        <v>1</v>
      </c>
      <c r="AE5">
        <f t="shared" si="1"/>
        <v>1</v>
      </c>
      <c r="AF5">
        <f t="shared" si="1"/>
        <v>1</v>
      </c>
      <c r="AG5">
        <f t="shared" si="1"/>
        <v>1</v>
      </c>
      <c r="AH5">
        <f t="shared" si="1"/>
        <v>1</v>
      </c>
      <c r="AI5">
        <f t="shared" si="1"/>
        <v>1</v>
      </c>
      <c r="AJ5">
        <f t="shared" si="1"/>
        <v>1</v>
      </c>
      <c r="AK5">
        <f t="shared" si="1"/>
        <v>1</v>
      </c>
      <c r="AL5">
        <f t="shared" si="1"/>
        <v>1</v>
      </c>
      <c r="AM5">
        <f t="shared" si="1"/>
        <v>1</v>
      </c>
      <c r="AN5">
        <f t="shared" si="1"/>
        <v>1</v>
      </c>
      <c r="AO5">
        <f t="shared" si="1"/>
        <v>1</v>
      </c>
      <c r="AP5">
        <f t="shared" si="1"/>
        <v>1</v>
      </c>
      <c r="AQ5">
        <f t="shared" si="1"/>
        <v>1</v>
      </c>
      <c r="AR5">
        <f t="shared" si="1"/>
        <v>1</v>
      </c>
      <c r="AS5">
        <f t="shared" si="1"/>
        <v>1</v>
      </c>
      <c r="AT5">
        <f t="shared" si="1"/>
        <v>1</v>
      </c>
      <c r="AU5">
        <f t="shared" si="1"/>
        <v>1</v>
      </c>
      <c r="AV5">
        <f t="shared" si="1"/>
        <v>1</v>
      </c>
      <c r="AW5">
        <f t="shared" si="1"/>
        <v>1</v>
      </c>
      <c r="AX5">
        <f t="shared" si="1"/>
        <v>1</v>
      </c>
      <c r="AY5">
        <f t="shared" si="1"/>
        <v>1</v>
      </c>
      <c r="AZ5">
        <f t="shared" si="1"/>
        <v>1</v>
      </c>
      <c r="BA5">
        <f t="shared" si="1"/>
        <v>1</v>
      </c>
    </row>
    <row r="7" spans="1:53" x14ac:dyDescent="0.25">
      <c r="B7" t="s">
        <v>712</v>
      </c>
      <c r="C7" t="b">
        <f>IF(SUM(L5:BA5)=42,TRUE,FALSE)</f>
        <v>0</v>
      </c>
      <c r="E7" t="s">
        <v>713</v>
      </c>
      <c r="F7" t="b">
        <f>IF(SUM(L5:M5,R5:S5,AC5:AK5,AM5:BA5)&gt;=28,TRUE,FALSE)</f>
        <v>1</v>
      </c>
      <c r="H7" t="s">
        <v>714</v>
      </c>
      <c r="I7" t="b">
        <f>IF(SUM(M5,AD5:AF5,AH5,AJ5:AK5,AN5)&gt;=8,TRUE,FALSE)</f>
        <v>1</v>
      </c>
      <c r="K7" t="s">
        <v>715</v>
      </c>
      <c r="L7" t="b">
        <f>IF(SUM(M5,AD5:AK5,AN5)&lt;8,TRUE,FALSE)</f>
        <v>0</v>
      </c>
      <c r="T7" t="s">
        <v>716</v>
      </c>
      <c r="U7" t="str">
        <f>IF(C7=TRUE,"Зелена",IF(F7=TRUE,"Синя",IF(I7=TRUE,"Жовта","Червона")))</f>
        <v>Синя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Аркуш2">
    <tabColor rgb="FF92D050"/>
  </sheetPr>
  <dimension ref="A1:AW120"/>
  <sheetViews>
    <sheetView showGridLines="0" view="pageBreakPreview" topLeftCell="E7" zoomScale="80" zoomScaleNormal="60" zoomScaleSheetLayoutView="80" zoomScalePageLayoutView="50" workbookViewId="0">
      <selection activeCell="O20" sqref="O20"/>
    </sheetView>
  </sheetViews>
  <sheetFormatPr defaultColWidth="8.85546875" defaultRowHeight="18.75" x14ac:dyDescent="0.25"/>
  <cols>
    <col min="1" max="1" width="8.42578125" style="28" customWidth="1"/>
    <col min="2" max="2" width="10.42578125" style="1" customWidth="1"/>
    <col min="3" max="3" width="27.85546875" style="2" customWidth="1"/>
    <col min="4" max="4" width="10.42578125" style="118" customWidth="1"/>
    <col min="5" max="5" width="19.140625" style="118" customWidth="1"/>
    <col min="6" max="6" width="17.5703125" style="118" customWidth="1"/>
    <col min="7" max="7" width="19.42578125" style="4" customWidth="1"/>
    <col min="8" max="8" width="18.5703125" style="4" customWidth="1"/>
    <col min="9" max="9" width="18.42578125" style="4" customWidth="1"/>
    <col min="10" max="10" width="20.42578125" style="4" customWidth="1"/>
    <col min="11" max="12" width="17.5703125" style="4" customWidth="1"/>
    <col min="13" max="13" width="22" style="4" customWidth="1"/>
    <col min="14" max="14" width="17.42578125" style="4" customWidth="1"/>
    <col min="15" max="16" width="17.42578125" style="18" customWidth="1"/>
    <col min="17" max="17" width="21" style="16" customWidth="1"/>
    <col min="18" max="18" width="18.42578125" style="16" customWidth="1"/>
    <col min="19" max="19" width="17.5703125" style="2" customWidth="1"/>
    <col min="20" max="20" width="18.85546875" style="76" customWidth="1"/>
    <col min="21" max="21" width="43.5703125" style="184" customWidth="1"/>
    <col min="22" max="22" width="18.42578125" style="184" customWidth="1"/>
    <col min="23" max="23" width="17.140625" style="184" customWidth="1"/>
    <col min="24" max="24" width="9.140625" style="183" customWidth="1"/>
    <col min="25" max="49" width="8.85546875" style="183"/>
    <col min="50" max="251" width="8.85546875" style="2"/>
    <col min="252" max="252" width="78.5703125" style="2" customWidth="1"/>
    <col min="253" max="255" width="19.42578125" style="2" customWidth="1"/>
    <col min="256" max="16384" width="8.85546875" style="2"/>
  </cols>
  <sheetData>
    <row r="1" spans="1:49" ht="22.35" customHeight="1" x14ac:dyDescent="0.25">
      <c r="B1" s="799" t="s">
        <v>0</v>
      </c>
      <c r="C1" s="799"/>
      <c r="D1" s="798">
        <v>37650571</v>
      </c>
      <c r="E1" s="798"/>
      <c r="F1" s="800" t="s">
        <v>1</v>
      </c>
      <c r="G1" s="800"/>
      <c r="H1" s="175">
        <v>150</v>
      </c>
      <c r="I1" s="155"/>
      <c r="M1" s="155"/>
      <c r="N1" s="155"/>
      <c r="O1" s="155"/>
      <c r="P1" s="155"/>
      <c r="Q1" s="126"/>
      <c r="R1" s="126"/>
      <c r="S1" s="781" t="s">
        <v>425</v>
      </c>
      <c r="T1" s="781"/>
    </row>
    <row r="2" spans="1:49" ht="20.100000000000001" customHeight="1" x14ac:dyDescent="0.25">
      <c r="J2" s="13"/>
      <c r="K2" s="2"/>
      <c r="L2" s="2"/>
      <c r="M2" s="2"/>
      <c r="N2" s="2"/>
      <c r="O2" s="2"/>
      <c r="P2" s="2"/>
      <c r="Q2" s="2"/>
      <c r="R2" s="2"/>
    </row>
    <row r="3" spans="1:49" ht="32.450000000000003" customHeight="1" x14ac:dyDescent="0.25">
      <c r="A3" s="797" t="s">
        <v>451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</row>
    <row r="4" spans="1:49" s="76" customFormat="1" ht="24" customHeight="1" x14ac:dyDescent="0.25">
      <c r="A4" s="788" t="s">
        <v>234</v>
      </c>
      <c r="B4" s="789"/>
      <c r="C4" s="790"/>
      <c r="D4" s="794" t="s">
        <v>372</v>
      </c>
      <c r="E4" s="795"/>
      <c r="F4" s="795"/>
      <c r="G4" s="795"/>
      <c r="H4" s="795"/>
      <c r="I4" s="795"/>
      <c r="J4" s="795"/>
      <c r="K4" s="795"/>
      <c r="L4" s="795"/>
      <c r="M4" s="796"/>
      <c r="N4" s="117"/>
      <c r="O4" s="2"/>
      <c r="P4" s="2"/>
      <c r="Q4" s="4"/>
      <c r="R4" s="4"/>
      <c r="S4" s="2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</row>
    <row r="5" spans="1:49" s="76" customFormat="1" ht="24" customHeight="1" x14ac:dyDescent="0.25">
      <c r="A5" s="791" t="s">
        <v>2</v>
      </c>
      <c r="B5" s="792"/>
      <c r="C5" s="793"/>
      <c r="D5" s="794" t="s">
        <v>256</v>
      </c>
      <c r="E5" s="795"/>
      <c r="F5" s="795"/>
      <c r="G5" s="795"/>
      <c r="H5" s="795"/>
      <c r="I5" s="795"/>
      <c r="J5" s="795"/>
      <c r="K5" s="795"/>
      <c r="L5" s="795"/>
      <c r="M5" s="796"/>
      <c r="N5" s="118"/>
      <c r="O5" s="118"/>
      <c r="P5" s="118"/>
      <c r="Q5" s="23"/>
      <c r="R5" s="23"/>
      <c r="S5" s="2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</row>
    <row r="6" spans="1:49" s="76" customFormat="1" ht="30.6" customHeight="1" x14ac:dyDescent="0.25">
      <c r="A6" s="801" t="s">
        <v>347</v>
      </c>
      <c r="B6" s="801"/>
      <c r="C6" s="801"/>
      <c r="D6" s="801"/>
      <c r="E6" s="801"/>
      <c r="F6" s="801"/>
      <c r="G6" s="801"/>
      <c r="H6" s="127"/>
      <c r="I6" s="118"/>
      <c r="J6" s="118"/>
      <c r="K6" s="118"/>
      <c r="L6" s="118"/>
      <c r="M6" s="118"/>
      <c r="N6" s="118"/>
      <c r="O6" s="118"/>
      <c r="P6" s="118"/>
      <c r="Q6" s="23"/>
      <c r="R6" s="23"/>
      <c r="S6" s="2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</row>
    <row r="7" spans="1:49" s="76" customFormat="1" ht="23.1" customHeight="1" x14ac:dyDescent="0.25">
      <c r="A7" s="782" t="s">
        <v>4</v>
      </c>
      <c r="B7" s="783"/>
      <c r="C7" s="783"/>
      <c r="D7" s="783"/>
      <c r="E7" s="783"/>
      <c r="F7" s="783"/>
      <c r="G7" s="784"/>
      <c r="H7" s="785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7"/>
      <c r="T7" s="77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</row>
    <row r="8" spans="1:49" s="76" customFormat="1" ht="27" customHeight="1" x14ac:dyDescent="0.25">
      <c r="A8" s="782" t="s">
        <v>346</v>
      </c>
      <c r="B8" s="783" t="s">
        <v>89</v>
      </c>
      <c r="C8" s="783" t="s">
        <v>89</v>
      </c>
      <c r="D8" s="783"/>
      <c r="E8" s="783"/>
      <c r="F8" s="783"/>
      <c r="G8" s="784"/>
      <c r="H8" s="785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7"/>
      <c r="T8" s="78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</row>
    <row r="9" spans="1:49" s="76" customFormat="1" ht="26.1" customHeight="1" x14ac:dyDescent="0.25">
      <c r="A9" s="782" t="s">
        <v>90</v>
      </c>
      <c r="B9" s="783"/>
      <c r="C9" s="783"/>
      <c r="D9" s="783"/>
      <c r="E9" s="783"/>
      <c r="F9" s="783"/>
      <c r="G9" s="784"/>
      <c r="H9" s="785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7"/>
      <c r="T9" s="77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</row>
    <row r="10" spans="1:49" s="76" customFormat="1" ht="22.35" customHeight="1" x14ac:dyDescent="0.25">
      <c r="A10" s="782" t="s">
        <v>5</v>
      </c>
      <c r="B10" s="783"/>
      <c r="C10" s="783"/>
      <c r="D10" s="783"/>
      <c r="E10" s="783"/>
      <c r="F10" s="783"/>
      <c r="G10" s="784"/>
      <c r="H10" s="785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87"/>
      <c r="T10" s="79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</row>
    <row r="11" spans="1:49" s="76" customFormat="1" ht="21.6" customHeight="1" thickBot="1" x14ac:dyDescent="0.3">
      <c r="A11" s="36"/>
      <c r="B11" s="6"/>
      <c r="C11" s="7"/>
      <c r="D11" s="5"/>
      <c r="E11" s="5"/>
      <c r="F11" s="5"/>
      <c r="G11" s="5"/>
      <c r="H11" s="5"/>
      <c r="I11" s="5"/>
      <c r="J11" s="5"/>
      <c r="K11" s="5"/>
      <c r="L11" s="5"/>
      <c r="M11" s="834" t="s">
        <v>323</v>
      </c>
      <c r="N11" s="834"/>
      <c r="O11" s="834"/>
      <c r="P11" s="834"/>
      <c r="Q11" s="834"/>
      <c r="R11" s="834"/>
      <c r="S11" s="834"/>
      <c r="T11" s="83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</row>
    <row r="12" spans="1:49" s="76" customFormat="1" ht="29.45" customHeight="1" x14ac:dyDescent="0.25">
      <c r="A12" s="816" t="s">
        <v>6</v>
      </c>
      <c r="B12" s="806" t="s">
        <v>7</v>
      </c>
      <c r="C12" s="806"/>
      <c r="D12" s="806"/>
      <c r="E12" s="806"/>
      <c r="F12" s="819" t="s">
        <v>433</v>
      </c>
      <c r="G12" s="821" t="s">
        <v>8</v>
      </c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3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</row>
    <row r="13" spans="1:49" s="76" customFormat="1" ht="43.35" customHeight="1" x14ac:dyDescent="0.25">
      <c r="A13" s="817"/>
      <c r="B13" s="818"/>
      <c r="C13" s="818"/>
      <c r="D13" s="818"/>
      <c r="E13" s="818"/>
      <c r="F13" s="820"/>
      <c r="G13" s="826" t="s">
        <v>414</v>
      </c>
      <c r="H13" s="827" t="s">
        <v>365</v>
      </c>
      <c r="I13" s="832" t="s">
        <v>368</v>
      </c>
      <c r="J13" s="833"/>
      <c r="K13" s="829" t="s">
        <v>233</v>
      </c>
      <c r="L13" s="830"/>
      <c r="M13" s="830"/>
      <c r="N13" s="831"/>
      <c r="O13" s="829" t="s">
        <v>203</v>
      </c>
      <c r="P13" s="830"/>
      <c r="Q13" s="830"/>
      <c r="R13" s="831"/>
      <c r="S13" s="824" t="s">
        <v>450</v>
      </c>
      <c r="T13" s="825"/>
      <c r="U13" s="184">
        <v>14</v>
      </c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</row>
    <row r="14" spans="1:49" s="76" customFormat="1" ht="66" customHeight="1" x14ac:dyDescent="0.25">
      <c r="A14" s="817"/>
      <c r="B14" s="818"/>
      <c r="C14" s="818"/>
      <c r="D14" s="818"/>
      <c r="E14" s="818"/>
      <c r="F14" s="820"/>
      <c r="G14" s="826"/>
      <c r="H14" s="828"/>
      <c r="I14" s="502" t="s">
        <v>84</v>
      </c>
      <c r="J14" s="502" t="s">
        <v>365</v>
      </c>
      <c r="K14" s="502" t="s">
        <v>84</v>
      </c>
      <c r="L14" s="502" t="s">
        <v>365</v>
      </c>
      <c r="M14" s="502" t="s">
        <v>85</v>
      </c>
      <c r="N14" s="502" t="s">
        <v>365</v>
      </c>
      <c r="O14" s="502" t="s">
        <v>84</v>
      </c>
      <c r="P14" s="502" t="s">
        <v>365</v>
      </c>
      <c r="Q14" s="502" t="s">
        <v>85</v>
      </c>
      <c r="R14" s="502" t="s">
        <v>365</v>
      </c>
      <c r="S14" s="502" t="s">
        <v>366</v>
      </c>
      <c r="T14" s="269" t="s">
        <v>365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</row>
    <row r="15" spans="1:49" s="76" customFormat="1" ht="18.600000000000001" customHeight="1" thickBot="1" x14ac:dyDescent="0.3">
      <c r="A15" s="169" t="s">
        <v>9</v>
      </c>
      <c r="B15" s="814">
        <v>2</v>
      </c>
      <c r="C15" s="814"/>
      <c r="D15" s="814"/>
      <c r="E15" s="814"/>
      <c r="F15" s="503">
        <v>3</v>
      </c>
      <c r="G15" s="503">
        <v>4</v>
      </c>
      <c r="H15" s="503">
        <v>5</v>
      </c>
      <c r="I15" s="503">
        <v>6</v>
      </c>
      <c r="J15" s="503">
        <v>7</v>
      </c>
      <c r="K15" s="503">
        <v>8</v>
      </c>
      <c r="L15" s="503">
        <v>9</v>
      </c>
      <c r="M15" s="503">
        <v>10</v>
      </c>
      <c r="N15" s="503">
        <v>11</v>
      </c>
      <c r="O15" s="503">
        <v>12</v>
      </c>
      <c r="P15" s="503">
        <v>13</v>
      </c>
      <c r="Q15" s="503">
        <v>14</v>
      </c>
      <c r="R15" s="503">
        <v>15</v>
      </c>
      <c r="S15" s="503">
        <v>16</v>
      </c>
      <c r="T15" s="528">
        <v>17</v>
      </c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</row>
    <row r="16" spans="1:49" s="76" customFormat="1" ht="38.1" customHeight="1" thickBot="1" x14ac:dyDescent="0.3">
      <c r="A16" s="128">
        <v>1</v>
      </c>
      <c r="B16" s="815" t="s">
        <v>218</v>
      </c>
      <c r="C16" s="815"/>
      <c r="D16" s="815"/>
      <c r="E16" s="815"/>
      <c r="F16" s="129">
        <v>0</v>
      </c>
      <c r="G16" s="130">
        <f t="shared" ref="G16:H18" si="0">SUM(I16,K16,M16,O16,Q16,S16)</f>
        <v>2037842.72</v>
      </c>
      <c r="H16" s="130">
        <f t="shared" si="0"/>
        <v>204400</v>
      </c>
      <c r="I16" s="130">
        <f>'Дод_Надходж ПМГ '!E9</f>
        <v>1474314.26</v>
      </c>
      <c r="J16" s="131">
        <f>'Дод_Надходж ПМГ '!E37</f>
        <v>0</v>
      </c>
      <c r="K16" s="129">
        <v>0</v>
      </c>
      <c r="L16" s="129">
        <v>0</v>
      </c>
      <c r="M16" s="129">
        <v>58968.28</v>
      </c>
      <c r="N16" s="129">
        <v>0</v>
      </c>
      <c r="O16" s="129">
        <f>497402.63</f>
        <v>497402.63</v>
      </c>
      <c r="P16" s="129">
        <v>204400</v>
      </c>
      <c r="Q16" s="129">
        <v>0</v>
      </c>
      <c r="R16" s="129">
        <v>0</v>
      </c>
      <c r="S16" s="130">
        <f>J37</f>
        <v>7157.55</v>
      </c>
      <c r="T16" s="132">
        <f>J42</f>
        <v>0</v>
      </c>
      <c r="U16" s="449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</row>
    <row r="17" spans="1:49" s="76" customFormat="1" ht="40.35" customHeight="1" x14ac:dyDescent="0.25">
      <c r="A17" s="42">
        <v>2</v>
      </c>
      <c r="B17" s="812" t="s">
        <v>219</v>
      </c>
      <c r="C17" s="812"/>
      <c r="D17" s="812"/>
      <c r="E17" s="812"/>
      <c r="F17" s="102">
        <f>SUM(F18+F25+F26+F27+F28+F29+F30+F31+F32)</f>
        <v>0</v>
      </c>
      <c r="G17" s="102">
        <f t="shared" si="0"/>
        <v>80744.88</v>
      </c>
      <c r="H17" s="102">
        <f t="shared" si="0"/>
        <v>63799.199999999997</v>
      </c>
      <c r="I17" s="102">
        <f>SUM(I18+I25+I26+I27+I28+I29+I30+I31+I32)</f>
        <v>20393</v>
      </c>
      <c r="J17" s="102">
        <f>SUM(J18+J25+J26+J27+J28+J29+J30+J31+J32)</f>
        <v>0</v>
      </c>
      <c r="K17" s="102">
        <f t="shared" ref="K17:T17" si="1">SUM(K18+K25+K26+K27+K28+K29+K30+K31+K32)</f>
        <v>0</v>
      </c>
      <c r="L17" s="102">
        <f t="shared" si="1"/>
        <v>0</v>
      </c>
      <c r="M17" s="102">
        <f t="shared" si="1"/>
        <v>58968.28</v>
      </c>
      <c r="N17" s="102">
        <f t="shared" si="1"/>
        <v>0</v>
      </c>
      <c r="O17" s="102">
        <f t="shared" si="1"/>
        <v>0</v>
      </c>
      <c r="P17" s="102">
        <f t="shared" si="1"/>
        <v>63799.199999999997</v>
      </c>
      <c r="Q17" s="102">
        <f t="shared" si="1"/>
        <v>0</v>
      </c>
      <c r="R17" s="102">
        <f t="shared" si="1"/>
        <v>0</v>
      </c>
      <c r="S17" s="102">
        <f t="shared" si="1"/>
        <v>1383.6</v>
      </c>
      <c r="T17" s="103">
        <f t="shared" si="1"/>
        <v>0</v>
      </c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</row>
    <row r="18" spans="1:49" s="76" customFormat="1" ht="29.45" customHeight="1" x14ac:dyDescent="0.25">
      <c r="A18" s="37" t="s">
        <v>60</v>
      </c>
      <c r="B18" s="802" t="s">
        <v>220</v>
      </c>
      <c r="C18" s="802"/>
      <c r="D18" s="802"/>
      <c r="E18" s="802"/>
      <c r="F18" s="100">
        <f>SUM(F19:F23)</f>
        <v>0</v>
      </c>
      <c r="G18" s="99">
        <f t="shared" si="0"/>
        <v>58968.28</v>
      </c>
      <c r="H18" s="99">
        <f t="shared" si="0"/>
        <v>63799.199999999997</v>
      </c>
      <c r="I18" s="100">
        <f>SUM(I19:I23)</f>
        <v>0</v>
      </c>
      <c r="J18" s="100">
        <f>SUM(J19:J23)</f>
        <v>0</v>
      </c>
      <c r="K18" s="100">
        <f t="shared" ref="K18:T18" si="2">SUM(K19:K23)</f>
        <v>0</v>
      </c>
      <c r="L18" s="100">
        <f t="shared" si="2"/>
        <v>0</v>
      </c>
      <c r="M18" s="100">
        <f t="shared" si="2"/>
        <v>58968.28</v>
      </c>
      <c r="N18" s="100">
        <f t="shared" si="2"/>
        <v>0</v>
      </c>
      <c r="O18" s="100">
        <f t="shared" si="2"/>
        <v>0</v>
      </c>
      <c r="P18" s="100">
        <f t="shared" si="2"/>
        <v>63799.199999999997</v>
      </c>
      <c r="Q18" s="100">
        <f t="shared" si="2"/>
        <v>0</v>
      </c>
      <c r="R18" s="100">
        <f t="shared" si="2"/>
        <v>0</v>
      </c>
      <c r="S18" s="100">
        <f t="shared" si="2"/>
        <v>0</v>
      </c>
      <c r="T18" s="101">
        <f t="shared" si="2"/>
        <v>0</v>
      </c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</row>
    <row r="19" spans="1:49" s="76" customFormat="1" ht="29.45" customHeight="1" x14ac:dyDescent="0.25">
      <c r="A19" s="37" t="s">
        <v>62</v>
      </c>
      <c r="B19" s="811" t="s">
        <v>20</v>
      </c>
      <c r="C19" s="811"/>
      <c r="D19" s="811"/>
      <c r="E19" s="811"/>
      <c r="F19" s="91">
        <v>0</v>
      </c>
      <c r="G19" s="99">
        <f t="shared" ref="G19:G32" si="3">SUM(I19,K19,M19,O19,Q19,S19)</f>
        <v>0</v>
      </c>
      <c r="H19" s="99">
        <f t="shared" ref="H19:H32" si="4">SUM(J19,L19,N19,P19,R19,T19)</f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529">
        <v>0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</row>
    <row r="20" spans="1:49" s="76" customFormat="1" ht="30.6" customHeight="1" x14ac:dyDescent="0.25">
      <c r="A20" s="37" t="s">
        <v>63</v>
      </c>
      <c r="B20" s="811" t="s">
        <v>431</v>
      </c>
      <c r="C20" s="811"/>
      <c r="D20" s="811"/>
      <c r="E20" s="811"/>
      <c r="F20" s="91">
        <v>0</v>
      </c>
      <c r="G20" s="99">
        <f t="shared" si="3"/>
        <v>0</v>
      </c>
      <c r="H20" s="99">
        <f t="shared" si="4"/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529">
        <v>0</v>
      </c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</row>
    <row r="21" spans="1:49" s="76" customFormat="1" ht="86.1" customHeight="1" x14ac:dyDescent="0.25">
      <c r="A21" s="37" t="s">
        <v>64</v>
      </c>
      <c r="B21" s="811" t="s">
        <v>96</v>
      </c>
      <c r="C21" s="811"/>
      <c r="D21" s="811"/>
      <c r="E21" s="811"/>
      <c r="F21" s="91">
        <v>0</v>
      </c>
      <c r="G21" s="99">
        <f t="shared" si="3"/>
        <v>0</v>
      </c>
      <c r="H21" s="99">
        <f t="shared" si="4"/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529">
        <v>0</v>
      </c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</row>
    <row r="22" spans="1:49" s="76" customFormat="1" ht="50.1" customHeight="1" x14ac:dyDescent="0.25">
      <c r="A22" s="37" t="s">
        <v>87</v>
      </c>
      <c r="B22" s="811" t="s">
        <v>97</v>
      </c>
      <c r="C22" s="811"/>
      <c r="D22" s="811"/>
      <c r="E22" s="811"/>
      <c r="F22" s="91">
        <v>0</v>
      </c>
      <c r="G22" s="99">
        <f t="shared" si="3"/>
        <v>58968.28</v>
      </c>
      <c r="H22" s="99">
        <f t="shared" si="4"/>
        <v>0</v>
      </c>
      <c r="I22" s="91">
        <v>0</v>
      </c>
      <c r="J22" s="91">
        <v>0</v>
      </c>
      <c r="K22" s="91">
        <v>0</v>
      </c>
      <c r="L22" s="91">
        <v>0</v>
      </c>
      <c r="M22" s="91">
        <f>58019+949.28</f>
        <v>58968.28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529">
        <v>0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</row>
    <row r="23" spans="1:49" s="76" customFormat="1" ht="33" customHeight="1" x14ac:dyDescent="0.25">
      <c r="A23" s="37" t="s">
        <v>88</v>
      </c>
      <c r="B23" s="811" t="s">
        <v>363</v>
      </c>
      <c r="C23" s="811"/>
      <c r="D23" s="811"/>
      <c r="E23" s="811"/>
      <c r="F23" s="91">
        <v>0</v>
      </c>
      <c r="G23" s="99">
        <f t="shared" si="3"/>
        <v>0</v>
      </c>
      <c r="H23" s="99">
        <f t="shared" si="4"/>
        <v>63799.199999999997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63799.199999999997</v>
      </c>
      <c r="Q23" s="91">
        <v>0</v>
      </c>
      <c r="R23" s="91">
        <v>0</v>
      </c>
      <c r="S23" s="91">
        <v>0</v>
      </c>
      <c r="T23" s="529">
        <v>0</v>
      </c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</row>
    <row r="24" spans="1:49" s="76" customFormat="1" ht="26.1" customHeight="1" x14ac:dyDescent="0.25">
      <c r="A24" s="33" t="s">
        <v>362</v>
      </c>
      <c r="B24" s="813" t="s">
        <v>364</v>
      </c>
      <c r="C24" s="813"/>
      <c r="D24" s="813"/>
      <c r="E24" s="813"/>
      <c r="F24" s="91">
        <v>0</v>
      </c>
      <c r="G24" s="99">
        <f>SUM(I24,K24,M24,O24,Q24,S24)</f>
        <v>0</v>
      </c>
      <c r="H24" s="99">
        <f>SUM(J24,L24,N24,P24,R24,T24)</f>
        <v>63799.199999999997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63799.199999999997</v>
      </c>
      <c r="Q24" s="91">
        <v>0</v>
      </c>
      <c r="R24" s="91">
        <v>0</v>
      </c>
      <c r="S24" s="91">
        <v>0</v>
      </c>
      <c r="T24" s="529">
        <v>0</v>
      </c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</row>
    <row r="25" spans="1:49" s="76" customFormat="1" ht="51" customHeight="1" x14ac:dyDescent="0.25">
      <c r="A25" s="37" t="s">
        <v>61</v>
      </c>
      <c r="B25" s="802" t="s">
        <v>51</v>
      </c>
      <c r="C25" s="802"/>
      <c r="D25" s="802"/>
      <c r="E25" s="802"/>
      <c r="F25" s="355">
        <v>0</v>
      </c>
      <c r="G25" s="99">
        <f t="shared" si="3"/>
        <v>0</v>
      </c>
      <c r="H25" s="99">
        <f t="shared" si="4"/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529">
        <v>0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</row>
    <row r="26" spans="1:49" s="76" customFormat="1" ht="30.6" customHeight="1" x14ac:dyDescent="0.25">
      <c r="A26" s="37" t="s">
        <v>65</v>
      </c>
      <c r="B26" s="802" t="s">
        <v>598</v>
      </c>
      <c r="C26" s="802"/>
      <c r="D26" s="802"/>
      <c r="E26" s="802"/>
      <c r="F26" s="355">
        <v>0</v>
      </c>
      <c r="G26" s="99">
        <f t="shared" si="3"/>
        <v>21608.6</v>
      </c>
      <c r="H26" s="99">
        <f t="shared" si="4"/>
        <v>0</v>
      </c>
      <c r="I26" s="91">
        <v>20225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1383.6</v>
      </c>
      <c r="T26" s="529">
        <v>0</v>
      </c>
      <c r="U26" s="188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</row>
    <row r="27" spans="1:49" s="76" customFormat="1" ht="27" customHeight="1" x14ac:dyDescent="0.25">
      <c r="A27" s="37" t="s">
        <v>66</v>
      </c>
      <c r="B27" s="802" t="s">
        <v>52</v>
      </c>
      <c r="C27" s="802"/>
      <c r="D27" s="802"/>
      <c r="E27" s="802"/>
      <c r="F27" s="355">
        <v>0</v>
      </c>
      <c r="G27" s="99">
        <f t="shared" si="3"/>
        <v>0</v>
      </c>
      <c r="H27" s="99">
        <f t="shared" si="4"/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529">
        <v>0</v>
      </c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</row>
    <row r="28" spans="1:49" s="76" customFormat="1" ht="24" customHeight="1" x14ac:dyDescent="0.25">
      <c r="A28" s="37" t="s">
        <v>67</v>
      </c>
      <c r="B28" s="802" t="s">
        <v>22</v>
      </c>
      <c r="C28" s="802"/>
      <c r="D28" s="802"/>
      <c r="E28" s="802"/>
      <c r="F28" s="355">
        <v>0</v>
      </c>
      <c r="G28" s="99">
        <f t="shared" si="3"/>
        <v>0</v>
      </c>
      <c r="H28" s="99">
        <f t="shared" si="4"/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529">
        <v>0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</row>
    <row r="29" spans="1:49" s="76" customFormat="1" ht="27" customHeight="1" x14ac:dyDescent="0.25">
      <c r="A29" s="37" t="s">
        <v>68</v>
      </c>
      <c r="B29" s="802" t="s">
        <v>53</v>
      </c>
      <c r="C29" s="802"/>
      <c r="D29" s="802"/>
      <c r="E29" s="802"/>
      <c r="F29" s="355">
        <v>0</v>
      </c>
      <c r="G29" s="99">
        <f t="shared" si="3"/>
        <v>0</v>
      </c>
      <c r="H29" s="99">
        <f t="shared" si="4"/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529">
        <v>0</v>
      </c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</row>
    <row r="30" spans="1:49" s="76" customFormat="1" ht="24.6" customHeight="1" x14ac:dyDescent="0.25">
      <c r="A30" s="37" t="s">
        <v>69</v>
      </c>
      <c r="B30" s="802" t="s">
        <v>54</v>
      </c>
      <c r="C30" s="802"/>
      <c r="D30" s="802"/>
      <c r="E30" s="802"/>
      <c r="F30" s="355">
        <v>0</v>
      </c>
      <c r="G30" s="99">
        <f t="shared" si="3"/>
        <v>0</v>
      </c>
      <c r="H30" s="99">
        <f t="shared" si="4"/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529">
        <v>0</v>
      </c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</row>
    <row r="31" spans="1:49" ht="46.35" customHeight="1" x14ac:dyDescent="0.25">
      <c r="A31" s="37" t="s">
        <v>70</v>
      </c>
      <c r="B31" s="802" t="s">
        <v>447</v>
      </c>
      <c r="C31" s="802"/>
      <c r="D31" s="802"/>
      <c r="E31" s="802"/>
      <c r="F31" s="355">
        <v>0</v>
      </c>
      <c r="G31" s="99">
        <f t="shared" si="3"/>
        <v>0</v>
      </c>
      <c r="H31" s="99">
        <f t="shared" si="4"/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529">
        <v>0</v>
      </c>
    </row>
    <row r="32" spans="1:49" ht="30.6" customHeight="1" thickBot="1" x14ac:dyDescent="0.3">
      <c r="A32" s="38" t="s">
        <v>71</v>
      </c>
      <c r="B32" s="803" t="s">
        <v>55</v>
      </c>
      <c r="C32" s="803"/>
      <c r="D32" s="803"/>
      <c r="E32" s="803"/>
      <c r="F32" s="530">
        <v>0</v>
      </c>
      <c r="G32" s="125">
        <f t="shared" si="3"/>
        <v>168</v>
      </c>
      <c r="H32" s="125">
        <f t="shared" si="4"/>
        <v>0</v>
      </c>
      <c r="I32" s="531">
        <v>168</v>
      </c>
      <c r="J32" s="531">
        <v>0</v>
      </c>
      <c r="K32" s="531">
        <v>0</v>
      </c>
      <c r="L32" s="531">
        <v>0</v>
      </c>
      <c r="M32" s="531">
        <v>0</v>
      </c>
      <c r="N32" s="531">
        <v>0</v>
      </c>
      <c r="O32" s="531">
        <v>0</v>
      </c>
      <c r="P32" s="531">
        <v>0</v>
      </c>
      <c r="Q32" s="531">
        <v>0</v>
      </c>
      <c r="R32" s="531">
        <v>0</v>
      </c>
      <c r="S32" s="531">
        <v>0</v>
      </c>
      <c r="T32" s="532">
        <v>0</v>
      </c>
    </row>
    <row r="33" spans="1:49" s="16" customFormat="1" ht="1.35" customHeight="1" x14ac:dyDescent="0.25">
      <c r="A33" s="28"/>
      <c r="B33" s="1"/>
      <c r="C33" s="2"/>
      <c r="D33" s="118"/>
      <c r="E33" s="118"/>
      <c r="F33" s="118"/>
      <c r="G33" s="2"/>
      <c r="H33" s="2"/>
      <c r="I33" s="527">
        <v>0</v>
      </c>
      <c r="J33" s="527">
        <v>0</v>
      </c>
      <c r="K33" s="527">
        <v>0</v>
      </c>
      <c r="L33" s="527">
        <v>0</v>
      </c>
      <c r="M33" s="527">
        <v>0</v>
      </c>
      <c r="N33" s="527">
        <v>0</v>
      </c>
      <c r="O33" s="527">
        <v>0</v>
      </c>
      <c r="P33" s="527">
        <v>0</v>
      </c>
      <c r="Q33" s="527">
        <v>0</v>
      </c>
      <c r="R33" s="527">
        <v>0</v>
      </c>
      <c r="S33" s="527">
        <v>0</v>
      </c>
      <c r="T33" s="527">
        <v>0</v>
      </c>
      <c r="U33" s="184"/>
      <c r="V33" s="184"/>
      <c r="W33" s="184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</row>
    <row r="34" spans="1:49" s="16" customFormat="1" ht="19.5" thickBot="1" x14ac:dyDescent="0.35">
      <c r="A34" s="136" t="s">
        <v>439</v>
      </c>
      <c r="B34" s="136"/>
      <c r="C34" s="25"/>
      <c r="D34" s="62"/>
      <c r="E34" s="62"/>
      <c r="F34" s="62"/>
      <c r="G34" s="2"/>
      <c r="H34" s="2"/>
      <c r="I34" s="2"/>
      <c r="J34" s="2"/>
      <c r="K34" s="183"/>
      <c r="L34" s="183"/>
      <c r="M34" s="183"/>
      <c r="N34" s="183"/>
      <c r="O34" s="186"/>
      <c r="P34" s="186"/>
      <c r="Q34" s="186"/>
      <c r="R34" s="186"/>
      <c r="S34" s="183"/>
      <c r="T34" s="184"/>
      <c r="U34" s="184"/>
      <c r="V34" s="184"/>
      <c r="W34" s="184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</row>
    <row r="35" spans="1:49" s="16" customFormat="1" ht="26.45" customHeight="1" x14ac:dyDescent="0.25">
      <c r="A35" s="55" t="s">
        <v>6</v>
      </c>
      <c r="B35" s="806" t="s">
        <v>333</v>
      </c>
      <c r="C35" s="806"/>
      <c r="D35" s="806"/>
      <c r="E35" s="806"/>
      <c r="F35" s="806"/>
      <c r="G35" s="806"/>
      <c r="H35" s="806"/>
      <c r="I35" s="806"/>
      <c r="J35" s="63" t="s">
        <v>322</v>
      </c>
      <c r="K35" s="183"/>
      <c r="L35" s="183"/>
      <c r="M35" s="183"/>
      <c r="N35" s="183"/>
      <c r="O35" s="186"/>
      <c r="P35" s="186"/>
      <c r="Q35" s="186"/>
      <c r="R35" s="186"/>
      <c r="S35" s="183"/>
      <c r="T35" s="184"/>
      <c r="U35" s="184"/>
      <c r="V35" s="184"/>
      <c r="W35" s="184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</row>
    <row r="36" spans="1:49" ht="20.45" customHeight="1" x14ac:dyDescent="0.25">
      <c r="A36" s="86">
        <v>1</v>
      </c>
      <c r="B36" s="807">
        <v>2</v>
      </c>
      <c r="C36" s="807"/>
      <c r="D36" s="807"/>
      <c r="E36" s="807"/>
      <c r="F36" s="807"/>
      <c r="G36" s="807"/>
      <c r="H36" s="807"/>
      <c r="I36" s="807"/>
      <c r="J36" s="87">
        <v>3</v>
      </c>
      <c r="K36" s="188"/>
      <c r="L36" s="188"/>
      <c r="M36" s="188"/>
      <c r="N36" s="188"/>
      <c r="O36" s="253"/>
      <c r="P36" s="253"/>
      <c r="Q36" s="253"/>
      <c r="R36" s="253"/>
      <c r="S36" s="188"/>
      <c r="T36" s="258"/>
    </row>
    <row r="37" spans="1:49" ht="27.6" customHeight="1" x14ac:dyDescent="0.25">
      <c r="A37" s="121">
        <v>1</v>
      </c>
      <c r="B37" s="809" t="s">
        <v>246</v>
      </c>
      <c r="C37" s="809"/>
      <c r="D37" s="809"/>
      <c r="E37" s="809"/>
      <c r="F37" s="809"/>
      <c r="G37" s="809"/>
      <c r="H37" s="809"/>
      <c r="I37" s="809"/>
      <c r="J37" s="133">
        <f>SUM(J38,J39,J40,J41,J43)</f>
        <v>7157.55</v>
      </c>
      <c r="K37" s="188"/>
      <c r="L37" s="259"/>
      <c r="M37" s="259"/>
      <c r="N37" s="259"/>
      <c r="O37" s="259"/>
      <c r="P37" s="259"/>
      <c r="Q37" s="259"/>
      <c r="R37" s="259"/>
      <c r="S37" s="259"/>
      <c r="T37" s="258"/>
    </row>
    <row r="38" spans="1:49" ht="27.6" customHeight="1" x14ac:dyDescent="0.25">
      <c r="A38" s="121">
        <v>2</v>
      </c>
      <c r="B38" s="804" t="s">
        <v>10</v>
      </c>
      <c r="C38" s="804"/>
      <c r="D38" s="804"/>
      <c r="E38" s="804"/>
      <c r="F38" s="804"/>
      <c r="G38" s="804"/>
      <c r="H38" s="804"/>
      <c r="I38" s="804"/>
      <c r="J38" s="134">
        <v>0</v>
      </c>
      <c r="K38" s="188"/>
      <c r="L38" s="260"/>
      <c r="M38" s="260"/>
      <c r="N38" s="260"/>
      <c r="O38" s="260"/>
      <c r="P38" s="260"/>
      <c r="Q38" s="260"/>
      <c r="R38" s="260"/>
      <c r="S38" s="260"/>
      <c r="T38" s="258"/>
    </row>
    <row r="39" spans="1:49" ht="27.6" customHeight="1" x14ac:dyDescent="0.25">
      <c r="A39" s="121">
        <v>3</v>
      </c>
      <c r="B39" s="804" t="s">
        <v>11</v>
      </c>
      <c r="C39" s="804"/>
      <c r="D39" s="804"/>
      <c r="E39" s="804"/>
      <c r="F39" s="804"/>
      <c r="G39" s="804"/>
      <c r="H39" s="804"/>
      <c r="I39" s="804"/>
      <c r="J39" s="134">
        <v>0</v>
      </c>
      <c r="K39" s="188"/>
      <c r="L39" s="260"/>
      <c r="M39" s="260"/>
      <c r="N39" s="260"/>
      <c r="O39" s="260"/>
      <c r="P39" s="260"/>
      <c r="Q39" s="260"/>
      <c r="R39" s="260"/>
      <c r="S39" s="260"/>
      <c r="T39" s="258"/>
    </row>
    <row r="40" spans="1:49" ht="27.6" customHeight="1" x14ac:dyDescent="0.25">
      <c r="A40" s="121">
        <v>4</v>
      </c>
      <c r="B40" s="804" t="s">
        <v>12</v>
      </c>
      <c r="C40" s="804"/>
      <c r="D40" s="804"/>
      <c r="E40" s="804"/>
      <c r="F40" s="804"/>
      <c r="G40" s="804"/>
      <c r="H40" s="804"/>
      <c r="I40" s="804"/>
      <c r="J40" s="134">
        <v>0</v>
      </c>
      <c r="K40" s="188"/>
      <c r="L40" s="260"/>
      <c r="M40" s="260"/>
      <c r="N40" s="260"/>
      <c r="O40" s="260"/>
      <c r="P40" s="260"/>
      <c r="Q40" s="260"/>
      <c r="R40" s="260"/>
      <c r="S40" s="260"/>
      <c r="T40" s="258"/>
    </row>
    <row r="41" spans="1:49" ht="27.6" customHeight="1" x14ac:dyDescent="0.25">
      <c r="A41" s="121">
        <v>5</v>
      </c>
      <c r="B41" s="804" t="s">
        <v>13</v>
      </c>
      <c r="C41" s="804"/>
      <c r="D41" s="804"/>
      <c r="E41" s="804"/>
      <c r="F41" s="804"/>
      <c r="G41" s="804"/>
      <c r="H41" s="804"/>
      <c r="I41" s="804"/>
      <c r="J41" s="271">
        <v>1383</v>
      </c>
      <c r="K41" s="270" t="b">
        <f>IFERROR(J41&gt;=J42,"помилка")</f>
        <v>1</v>
      </c>
      <c r="L41" s="260"/>
      <c r="M41" s="260"/>
      <c r="N41" s="260"/>
      <c r="O41" s="260"/>
      <c r="P41" s="260"/>
      <c r="Q41" s="260"/>
      <c r="R41" s="260"/>
      <c r="S41" s="260"/>
      <c r="T41" s="258"/>
    </row>
    <row r="42" spans="1:49" ht="27.6" customHeight="1" x14ac:dyDescent="0.25">
      <c r="A42" s="121" t="s">
        <v>367</v>
      </c>
      <c r="B42" s="810" t="s">
        <v>365</v>
      </c>
      <c r="C42" s="810"/>
      <c r="D42" s="810"/>
      <c r="E42" s="810"/>
      <c r="F42" s="810"/>
      <c r="G42" s="810"/>
      <c r="H42" s="810"/>
      <c r="I42" s="810"/>
      <c r="J42" s="138">
        <v>0</v>
      </c>
      <c r="K42" s="188"/>
      <c r="L42" s="261"/>
      <c r="M42" s="261"/>
      <c r="N42" s="261"/>
      <c r="O42" s="261"/>
      <c r="P42" s="261"/>
      <c r="Q42" s="261"/>
      <c r="R42" s="261"/>
      <c r="S42" s="261"/>
      <c r="T42" s="258"/>
    </row>
    <row r="43" spans="1:49" ht="27.6" customHeight="1" thickBot="1" x14ac:dyDescent="0.3">
      <c r="A43" s="122">
        <v>6</v>
      </c>
      <c r="B43" s="808" t="s">
        <v>14</v>
      </c>
      <c r="C43" s="808"/>
      <c r="D43" s="808"/>
      <c r="E43" s="808"/>
      <c r="F43" s="808"/>
      <c r="G43" s="808"/>
      <c r="H43" s="808"/>
      <c r="I43" s="808"/>
      <c r="J43" s="135">
        <v>5774.55</v>
      </c>
      <c r="K43" s="188"/>
      <c r="L43" s="260"/>
      <c r="M43" s="260"/>
      <c r="N43" s="260"/>
      <c r="O43" s="260"/>
      <c r="P43" s="260"/>
      <c r="Q43" s="260"/>
      <c r="R43" s="260"/>
      <c r="S43" s="260"/>
      <c r="T43" s="258"/>
    </row>
    <row r="44" spans="1:49" ht="8.1" customHeight="1" x14ac:dyDescent="0.25"/>
    <row r="45" spans="1:49" ht="21" customHeight="1" x14ac:dyDescent="0.25"/>
    <row r="46" spans="1:49" ht="22.35" customHeight="1" x14ac:dyDescent="0.25">
      <c r="B46" s="799" t="s">
        <v>0</v>
      </c>
      <c r="C46" s="799"/>
      <c r="D46" s="805">
        <f>D1</f>
        <v>37650571</v>
      </c>
      <c r="E46" s="805"/>
      <c r="F46" s="800" t="s">
        <v>1</v>
      </c>
      <c r="G46" s="800"/>
      <c r="H46" s="124">
        <f>H1</f>
        <v>150</v>
      </c>
      <c r="I46" s="155"/>
      <c r="J46" s="2"/>
      <c r="K46" s="2"/>
      <c r="L46" s="155"/>
      <c r="M46" s="155"/>
      <c r="N46" s="155"/>
      <c r="O46" s="155"/>
      <c r="P46" s="155"/>
      <c r="Q46" s="126"/>
      <c r="R46" s="126"/>
      <c r="S46" s="781" t="s">
        <v>425</v>
      </c>
      <c r="T46" s="781"/>
    </row>
    <row r="47" spans="1:49" ht="22.35" customHeight="1" x14ac:dyDescent="0.25">
      <c r="J47" s="13"/>
      <c r="K47" s="2"/>
      <c r="L47" s="2"/>
      <c r="M47" s="2"/>
      <c r="N47" s="2"/>
      <c r="O47" s="2"/>
      <c r="P47" s="2"/>
      <c r="Q47" s="2"/>
      <c r="R47" s="2"/>
      <c r="S47" s="845" t="s">
        <v>369</v>
      </c>
      <c r="T47" s="845"/>
    </row>
    <row r="48" spans="1:49" ht="32.450000000000003" customHeight="1" x14ac:dyDescent="0.25">
      <c r="A48" s="851" t="str">
        <f>A3</f>
        <v>ЗВІТ ПРО ДОХОДИ ТА ВИТРАТИ за квартал 2020 року</v>
      </c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1"/>
      <c r="M48" s="851"/>
      <c r="N48" s="851"/>
      <c r="O48" s="851"/>
      <c r="P48" s="851"/>
      <c r="Q48" s="851"/>
      <c r="R48" s="851"/>
      <c r="S48" s="851"/>
      <c r="T48" s="851"/>
    </row>
    <row r="49" spans="1:20" ht="32.450000000000003" customHeight="1" thickBot="1" x14ac:dyDescent="0.3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857" t="s">
        <v>323</v>
      </c>
      <c r="T49" s="857"/>
    </row>
    <row r="50" spans="1:20" ht="31.35" customHeight="1" x14ac:dyDescent="0.25">
      <c r="A50" s="842" t="s">
        <v>6</v>
      </c>
      <c r="B50" s="806" t="s">
        <v>7</v>
      </c>
      <c r="C50" s="806"/>
      <c r="D50" s="806"/>
      <c r="E50" s="806"/>
      <c r="F50" s="852" t="s">
        <v>91</v>
      </c>
      <c r="G50" s="855" t="s">
        <v>8</v>
      </c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51" spans="1:20" ht="29.45" customHeight="1" x14ac:dyDescent="0.25">
      <c r="A51" s="843"/>
      <c r="B51" s="818"/>
      <c r="C51" s="818"/>
      <c r="D51" s="818"/>
      <c r="E51" s="818"/>
      <c r="F51" s="853"/>
      <c r="G51" s="846" t="s">
        <v>370</v>
      </c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7"/>
    </row>
    <row r="52" spans="1:20" ht="48.6" customHeight="1" x14ac:dyDescent="0.25">
      <c r="A52" s="843"/>
      <c r="B52" s="818"/>
      <c r="C52" s="818"/>
      <c r="D52" s="818"/>
      <c r="E52" s="818"/>
      <c r="F52" s="853"/>
      <c r="G52" s="846" t="s">
        <v>432</v>
      </c>
      <c r="H52" s="846" t="s">
        <v>365</v>
      </c>
      <c r="I52" s="846" t="s">
        <v>415</v>
      </c>
      <c r="J52" s="846"/>
      <c r="K52" s="853" t="s">
        <v>233</v>
      </c>
      <c r="L52" s="853"/>
      <c r="M52" s="853"/>
      <c r="N52" s="853"/>
      <c r="O52" s="853" t="s">
        <v>203</v>
      </c>
      <c r="P52" s="853"/>
      <c r="Q52" s="853"/>
      <c r="R52" s="853"/>
      <c r="S52" s="849" t="s">
        <v>525</v>
      </c>
      <c r="T52" s="850"/>
    </row>
    <row r="53" spans="1:20" ht="75.75" thickBot="1" x14ac:dyDescent="0.3">
      <c r="A53" s="844"/>
      <c r="B53" s="814"/>
      <c r="C53" s="814"/>
      <c r="D53" s="814"/>
      <c r="E53" s="814"/>
      <c r="F53" s="854"/>
      <c r="G53" s="848"/>
      <c r="H53" s="848"/>
      <c r="I53" s="206" t="s">
        <v>84</v>
      </c>
      <c r="J53" s="206" t="s">
        <v>365</v>
      </c>
      <c r="K53" s="206" t="s">
        <v>84</v>
      </c>
      <c r="L53" s="206" t="s">
        <v>365</v>
      </c>
      <c r="M53" s="206" t="s">
        <v>85</v>
      </c>
      <c r="N53" s="206" t="s">
        <v>365</v>
      </c>
      <c r="O53" s="206" t="s">
        <v>84</v>
      </c>
      <c r="P53" s="206" t="s">
        <v>365</v>
      </c>
      <c r="Q53" s="206" t="s">
        <v>85</v>
      </c>
      <c r="R53" s="206" t="s">
        <v>365</v>
      </c>
      <c r="S53" s="206" t="s">
        <v>366</v>
      </c>
      <c r="T53" s="207" t="s">
        <v>365</v>
      </c>
    </row>
    <row r="54" spans="1:20" ht="24" customHeight="1" x14ac:dyDescent="0.25">
      <c r="A54" s="204" t="s">
        <v>9</v>
      </c>
      <c r="B54" s="838">
        <v>2</v>
      </c>
      <c r="C54" s="839"/>
      <c r="D54" s="839"/>
      <c r="E54" s="840"/>
      <c r="F54" s="205">
        <v>3</v>
      </c>
      <c r="G54" s="205">
        <v>4</v>
      </c>
      <c r="H54" s="205">
        <v>5</v>
      </c>
      <c r="I54" s="205">
        <v>6</v>
      </c>
      <c r="J54" s="205">
        <v>7</v>
      </c>
      <c r="K54" s="205">
        <v>8</v>
      </c>
      <c r="L54" s="205">
        <v>9</v>
      </c>
      <c r="M54" s="205">
        <v>10</v>
      </c>
      <c r="N54" s="205">
        <v>11</v>
      </c>
      <c r="O54" s="205">
        <v>12</v>
      </c>
      <c r="P54" s="205">
        <v>13</v>
      </c>
      <c r="Q54" s="205">
        <v>14</v>
      </c>
      <c r="R54" s="205">
        <v>15</v>
      </c>
      <c r="S54" s="205">
        <v>16</v>
      </c>
      <c r="T54" s="205">
        <v>17</v>
      </c>
    </row>
    <row r="55" spans="1:20" ht="40.35" customHeight="1" x14ac:dyDescent="0.25">
      <c r="A55" s="146">
        <v>3</v>
      </c>
      <c r="B55" s="841" t="s">
        <v>221</v>
      </c>
      <c r="C55" s="841"/>
      <c r="D55" s="841"/>
      <c r="E55" s="841"/>
      <c r="F55" s="147">
        <f>SUM(F56+F60+F64+F65)</f>
        <v>0</v>
      </c>
      <c r="G55" s="147">
        <f>I55+K55+M55+O55+Q55+S55</f>
        <v>0</v>
      </c>
      <c r="H55" s="147">
        <f>J55+L55+N55+P55+R55+T55</f>
        <v>0</v>
      </c>
      <c r="I55" s="147">
        <f>SUM(I56+I60+I64+I65)</f>
        <v>0</v>
      </c>
      <c r="J55" s="147">
        <f t="shared" ref="J55:T55" si="5">SUM(J56+J60+J64+J65)</f>
        <v>0</v>
      </c>
      <c r="K55" s="147">
        <f t="shared" si="5"/>
        <v>0</v>
      </c>
      <c r="L55" s="147">
        <f t="shared" si="5"/>
        <v>0</v>
      </c>
      <c r="M55" s="147">
        <f t="shared" si="5"/>
        <v>0</v>
      </c>
      <c r="N55" s="147">
        <f t="shared" si="5"/>
        <v>0</v>
      </c>
      <c r="O55" s="147">
        <f t="shared" si="5"/>
        <v>0</v>
      </c>
      <c r="P55" s="147">
        <f t="shared" si="5"/>
        <v>0</v>
      </c>
      <c r="Q55" s="147">
        <f t="shared" si="5"/>
        <v>0</v>
      </c>
      <c r="R55" s="147">
        <f t="shared" si="5"/>
        <v>0</v>
      </c>
      <c r="S55" s="147">
        <f t="shared" si="5"/>
        <v>0</v>
      </c>
      <c r="T55" s="147">
        <f t="shared" si="5"/>
        <v>0</v>
      </c>
    </row>
    <row r="56" spans="1:20" ht="40.35" customHeight="1" x14ac:dyDescent="0.25">
      <c r="A56" s="148" t="s">
        <v>72</v>
      </c>
      <c r="B56" s="835" t="s">
        <v>222</v>
      </c>
      <c r="C56" s="835"/>
      <c r="D56" s="835"/>
      <c r="E56" s="835"/>
      <c r="F56" s="149">
        <f>SUM(F57:F59)</f>
        <v>0</v>
      </c>
      <c r="G56" s="147">
        <f t="shared" ref="G56:H67" si="6">I56+K56+M56+O56+Q56+S56</f>
        <v>0</v>
      </c>
      <c r="H56" s="147">
        <f t="shared" si="6"/>
        <v>0</v>
      </c>
      <c r="I56" s="149">
        <f>SUM(I57:I59)</f>
        <v>0</v>
      </c>
      <c r="J56" s="149">
        <f t="shared" ref="J56:T56" si="7">SUM(J57:J59)</f>
        <v>0</v>
      </c>
      <c r="K56" s="149">
        <f t="shared" si="7"/>
        <v>0</v>
      </c>
      <c r="L56" s="149">
        <f t="shared" si="7"/>
        <v>0</v>
      </c>
      <c r="M56" s="149">
        <f t="shared" si="7"/>
        <v>0</v>
      </c>
      <c r="N56" s="149">
        <f t="shared" si="7"/>
        <v>0</v>
      </c>
      <c r="O56" s="149">
        <f t="shared" si="7"/>
        <v>0</v>
      </c>
      <c r="P56" s="149">
        <f t="shared" si="7"/>
        <v>0</v>
      </c>
      <c r="Q56" s="149">
        <f t="shared" si="7"/>
        <v>0</v>
      </c>
      <c r="R56" s="149">
        <f t="shared" si="7"/>
        <v>0</v>
      </c>
      <c r="S56" s="149">
        <f t="shared" si="7"/>
        <v>0</v>
      </c>
      <c r="T56" s="149">
        <f t="shared" si="7"/>
        <v>0</v>
      </c>
    </row>
    <row r="57" spans="1:20" ht="40.35" customHeight="1" x14ac:dyDescent="0.25">
      <c r="A57" s="150" t="s">
        <v>76</v>
      </c>
      <c r="B57" s="836" t="s">
        <v>348</v>
      </c>
      <c r="C57" s="836"/>
      <c r="D57" s="836"/>
      <c r="E57" s="836"/>
      <c r="F57" s="151">
        <v>0</v>
      </c>
      <c r="G57" s="147">
        <f t="shared" si="6"/>
        <v>0</v>
      </c>
      <c r="H57" s="147">
        <f t="shared" si="6"/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</row>
    <row r="58" spans="1:20" ht="40.35" customHeight="1" x14ac:dyDescent="0.25">
      <c r="A58" s="148" t="s">
        <v>77</v>
      </c>
      <c r="B58" s="836" t="s">
        <v>223</v>
      </c>
      <c r="C58" s="836"/>
      <c r="D58" s="836"/>
      <c r="E58" s="836"/>
      <c r="F58" s="151">
        <v>0</v>
      </c>
      <c r="G58" s="147">
        <f t="shared" si="6"/>
        <v>0</v>
      </c>
      <c r="H58" s="147">
        <f t="shared" si="6"/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0</v>
      </c>
      <c r="T58" s="151">
        <v>0</v>
      </c>
    </row>
    <row r="59" spans="1:20" ht="40.35" customHeight="1" x14ac:dyDescent="0.25">
      <c r="A59" s="150" t="s">
        <v>78</v>
      </c>
      <c r="B59" s="836" t="s">
        <v>224</v>
      </c>
      <c r="C59" s="836"/>
      <c r="D59" s="836"/>
      <c r="E59" s="836"/>
      <c r="F59" s="151">
        <v>0</v>
      </c>
      <c r="G59" s="147">
        <f t="shared" si="6"/>
        <v>0</v>
      </c>
      <c r="H59" s="147">
        <f t="shared" si="6"/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51">
        <v>0</v>
      </c>
      <c r="Q59" s="151">
        <v>0</v>
      </c>
      <c r="R59" s="151">
        <v>0</v>
      </c>
      <c r="S59" s="151">
        <v>0</v>
      </c>
      <c r="T59" s="151">
        <v>0</v>
      </c>
    </row>
    <row r="60" spans="1:20" ht="40.35" customHeight="1" x14ac:dyDescent="0.25">
      <c r="A60" s="148" t="s">
        <v>73</v>
      </c>
      <c r="B60" s="835" t="s">
        <v>225</v>
      </c>
      <c r="C60" s="835"/>
      <c r="D60" s="835"/>
      <c r="E60" s="835"/>
      <c r="F60" s="149">
        <f>SUM(F61:F63)</f>
        <v>0</v>
      </c>
      <c r="G60" s="147">
        <f t="shared" si="6"/>
        <v>0</v>
      </c>
      <c r="H60" s="147">
        <f t="shared" si="6"/>
        <v>0</v>
      </c>
      <c r="I60" s="149">
        <f>SUM(I61:I63)</f>
        <v>0</v>
      </c>
      <c r="J60" s="149">
        <f t="shared" ref="J60:T60" si="8">SUM(J61:J63)</f>
        <v>0</v>
      </c>
      <c r="K60" s="149">
        <f t="shared" si="8"/>
        <v>0</v>
      </c>
      <c r="L60" s="149">
        <f t="shared" si="8"/>
        <v>0</v>
      </c>
      <c r="M60" s="149">
        <f t="shared" si="8"/>
        <v>0</v>
      </c>
      <c r="N60" s="149">
        <f t="shared" si="8"/>
        <v>0</v>
      </c>
      <c r="O60" s="149">
        <f t="shared" si="8"/>
        <v>0</v>
      </c>
      <c r="P60" s="149">
        <f t="shared" si="8"/>
        <v>0</v>
      </c>
      <c r="Q60" s="149">
        <f t="shared" si="8"/>
        <v>0</v>
      </c>
      <c r="R60" s="149">
        <f t="shared" si="8"/>
        <v>0</v>
      </c>
      <c r="S60" s="149">
        <f t="shared" si="8"/>
        <v>0</v>
      </c>
      <c r="T60" s="149">
        <f t="shared" si="8"/>
        <v>0</v>
      </c>
    </row>
    <row r="61" spans="1:20" ht="40.35" customHeight="1" x14ac:dyDescent="0.25">
      <c r="A61" s="148" t="s">
        <v>79</v>
      </c>
      <c r="B61" s="836" t="s">
        <v>226</v>
      </c>
      <c r="C61" s="836"/>
      <c r="D61" s="836"/>
      <c r="E61" s="836"/>
      <c r="F61" s="151">
        <v>0</v>
      </c>
      <c r="G61" s="147">
        <f t="shared" si="6"/>
        <v>0</v>
      </c>
      <c r="H61" s="147">
        <f t="shared" si="6"/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</row>
    <row r="62" spans="1:20" ht="40.35" customHeight="1" x14ac:dyDescent="0.25">
      <c r="A62" s="148" t="s">
        <v>80</v>
      </c>
      <c r="B62" s="836" t="s">
        <v>227</v>
      </c>
      <c r="C62" s="836"/>
      <c r="D62" s="836"/>
      <c r="E62" s="836"/>
      <c r="F62" s="151">
        <v>0</v>
      </c>
      <c r="G62" s="147">
        <f t="shared" si="6"/>
        <v>0</v>
      </c>
      <c r="H62" s="147">
        <f t="shared" si="6"/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51">
        <v>0</v>
      </c>
      <c r="T62" s="151">
        <v>0</v>
      </c>
    </row>
    <row r="63" spans="1:20" ht="40.35" customHeight="1" x14ac:dyDescent="0.25">
      <c r="A63" s="148" t="s">
        <v>81</v>
      </c>
      <c r="B63" s="836" t="s">
        <v>228</v>
      </c>
      <c r="C63" s="836"/>
      <c r="D63" s="836"/>
      <c r="E63" s="836"/>
      <c r="F63" s="151">
        <v>0</v>
      </c>
      <c r="G63" s="147">
        <f t="shared" si="6"/>
        <v>0</v>
      </c>
      <c r="H63" s="147">
        <f t="shared" si="6"/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</row>
    <row r="64" spans="1:20" ht="40.35" customHeight="1" x14ac:dyDescent="0.25">
      <c r="A64" s="148" t="s">
        <v>74</v>
      </c>
      <c r="B64" s="835" t="s">
        <v>229</v>
      </c>
      <c r="C64" s="835"/>
      <c r="D64" s="835"/>
      <c r="E64" s="835"/>
      <c r="F64" s="151">
        <v>0</v>
      </c>
      <c r="G64" s="147">
        <f t="shared" si="6"/>
        <v>0</v>
      </c>
      <c r="H64" s="147">
        <f t="shared" si="6"/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  <c r="S64" s="151">
        <v>0</v>
      </c>
      <c r="T64" s="152">
        <v>0</v>
      </c>
    </row>
    <row r="65" spans="1:23" ht="40.35" customHeight="1" x14ac:dyDescent="0.25">
      <c r="A65" s="148" t="s">
        <v>75</v>
      </c>
      <c r="B65" s="835" t="s">
        <v>230</v>
      </c>
      <c r="C65" s="835"/>
      <c r="D65" s="835"/>
      <c r="E65" s="835"/>
      <c r="F65" s="149">
        <f>SUM(F66:F67)</f>
        <v>0</v>
      </c>
      <c r="G65" s="147">
        <f t="shared" si="6"/>
        <v>0</v>
      </c>
      <c r="H65" s="147">
        <f t="shared" si="6"/>
        <v>0</v>
      </c>
      <c r="I65" s="149">
        <f>SUM(I66:I67)</f>
        <v>0</v>
      </c>
      <c r="J65" s="149">
        <f t="shared" ref="J65:T65" si="9">SUM(J66:J67)</f>
        <v>0</v>
      </c>
      <c r="K65" s="149">
        <f t="shared" si="9"/>
        <v>0</v>
      </c>
      <c r="L65" s="149">
        <f t="shared" si="9"/>
        <v>0</v>
      </c>
      <c r="M65" s="149">
        <f t="shared" si="9"/>
        <v>0</v>
      </c>
      <c r="N65" s="149">
        <f t="shared" si="9"/>
        <v>0</v>
      </c>
      <c r="O65" s="149">
        <f t="shared" si="9"/>
        <v>0</v>
      </c>
      <c r="P65" s="149">
        <f t="shared" si="9"/>
        <v>0</v>
      </c>
      <c r="Q65" s="149">
        <f t="shared" si="9"/>
        <v>0</v>
      </c>
      <c r="R65" s="149">
        <f t="shared" si="9"/>
        <v>0</v>
      </c>
      <c r="S65" s="149">
        <f t="shared" si="9"/>
        <v>0</v>
      </c>
      <c r="T65" s="149">
        <f t="shared" si="9"/>
        <v>0</v>
      </c>
    </row>
    <row r="66" spans="1:23" ht="40.35" customHeight="1" thickBot="1" x14ac:dyDescent="0.3">
      <c r="A66" s="148" t="s">
        <v>82</v>
      </c>
      <c r="B66" s="836" t="s">
        <v>231</v>
      </c>
      <c r="C66" s="836"/>
      <c r="D66" s="836"/>
      <c r="E66" s="836"/>
      <c r="F66" s="154">
        <v>0</v>
      </c>
      <c r="G66" s="147">
        <f t="shared" si="6"/>
        <v>0</v>
      </c>
      <c r="H66" s="147">
        <f t="shared" si="6"/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</row>
    <row r="67" spans="1:23" ht="40.35" customHeight="1" thickBot="1" x14ac:dyDescent="0.3">
      <c r="A67" s="153" t="s">
        <v>83</v>
      </c>
      <c r="B67" s="837" t="s">
        <v>232</v>
      </c>
      <c r="C67" s="837"/>
      <c r="D67" s="837"/>
      <c r="E67" s="837"/>
      <c r="F67" s="154">
        <v>0</v>
      </c>
      <c r="G67" s="147">
        <f t="shared" si="6"/>
        <v>0</v>
      </c>
      <c r="H67" s="147">
        <f t="shared" si="6"/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4">
        <v>0</v>
      </c>
      <c r="S67" s="154">
        <v>0</v>
      </c>
      <c r="T67" s="154">
        <v>0</v>
      </c>
    </row>
    <row r="68" spans="1:23" s="251" customFormat="1" x14ac:dyDescent="0.25">
      <c r="A68" s="262"/>
      <c r="B68" s="263"/>
      <c r="D68" s="264"/>
      <c r="E68" s="264"/>
      <c r="F68" s="264"/>
      <c r="G68" s="265"/>
      <c r="H68" s="265"/>
      <c r="I68" s="265"/>
      <c r="J68" s="265"/>
      <c r="K68" s="265"/>
      <c r="L68" s="265"/>
      <c r="M68" s="265"/>
      <c r="N68" s="265"/>
      <c r="O68" s="266"/>
      <c r="P68" s="266"/>
      <c r="Q68" s="267"/>
      <c r="R68" s="267"/>
      <c r="T68" s="252"/>
      <c r="U68" s="252"/>
      <c r="V68" s="252"/>
      <c r="W68" s="252"/>
    </row>
    <row r="69" spans="1:23" s="251" customFormat="1" x14ac:dyDescent="0.25">
      <c r="A69" s="780"/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N69" s="780"/>
      <c r="O69" s="780"/>
      <c r="P69" s="780"/>
      <c r="Q69" s="780"/>
      <c r="R69" s="780"/>
      <c r="S69" s="780"/>
      <c r="T69" s="780"/>
      <c r="U69" s="252"/>
      <c r="V69" s="252"/>
      <c r="W69" s="252"/>
    </row>
    <row r="70" spans="1:23" s="251" customFormat="1" x14ac:dyDescent="0.25">
      <c r="A70" s="780"/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780"/>
      <c r="P70" s="780"/>
      <c r="Q70" s="780"/>
      <c r="R70" s="780"/>
      <c r="S70" s="780"/>
      <c r="T70" s="780"/>
      <c r="U70" s="252"/>
      <c r="V70" s="252"/>
      <c r="W70" s="252"/>
    </row>
    <row r="71" spans="1:23" s="251" customFormat="1" x14ac:dyDescent="0.25">
      <c r="A71" s="780"/>
      <c r="B71" s="780"/>
      <c r="C71" s="780"/>
      <c r="D71" s="780"/>
      <c r="E71" s="780"/>
      <c r="F71" s="780"/>
      <c r="G71" s="780"/>
      <c r="H71" s="780"/>
      <c r="I71" s="780"/>
      <c r="J71" s="780"/>
      <c r="K71" s="780"/>
      <c r="L71" s="780"/>
      <c r="M71" s="780"/>
      <c r="N71" s="780"/>
      <c r="O71" s="780"/>
      <c r="P71" s="780"/>
      <c r="Q71" s="780"/>
      <c r="R71" s="780"/>
      <c r="S71" s="780"/>
      <c r="T71" s="780"/>
      <c r="U71" s="252"/>
      <c r="V71" s="252"/>
      <c r="W71" s="252"/>
    </row>
    <row r="72" spans="1:23" s="251" customFormat="1" x14ac:dyDescent="0.25">
      <c r="A72" s="780"/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780"/>
      <c r="P72" s="780"/>
      <c r="Q72" s="780"/>
      <c r="R72" s="780"/>
      <c r="S72" s="780"/>
      <c r="T72" s="780"/>
      <c r="U72" s="252"/>
      <c r="V72" s="252"/>
      <c r="W72" s="252"/>
    </row>
    <row r="73" spans="1:23" s="251" customFormat="1" x14ac:dyDescent="0.25">
      <c r="A73" s="780"/>
      <c r="B73" s="780"/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  <c r="P73" s="780"/>
      <c r="Q73" s="780"/>
      <c r="R73" s="780"/>
      <c r="S73" s="780"/>
      <c r="T73" s="780"/>
      <c r="U73" s="252"/>
      <c r="V73" s="252"/>
      <c r="W73" s="252"/>
    </row>
    <row r="74" spans="1:23" s="251" customFormat="1" x14ac:dyDescent="0.25">
      <c r="A74" s="780"/>
      <c r="B74" s="780"/>
      <c r="C74" s="780"/>
      <c r="D74" s="780"/>
      <c r="E74" s="780"/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0"/>
      <c r="U74" s="252"/>
      <c r="V74" s="252"/>
      <c r="W74" s="252"/>
    </row>
    <row r="75" spans="1:23" s="251" customFormat="1" x14ac:dyDescent="0.25">
      <c r="A75" s="780"/>
      <c r="B75" s="780"/>
      <c r="C75" s="780"/>
      <c r="D75" s="780"/>
      <c r="E75" s="780"/>
      <c r="F75" s="780"/>
      <c r="G75" s="780"/>
      <c r="H75" s="780"/>
      <c r="I75" s="780"/>
      <c r="J75" s="780"/>
      <c r="K75" s="780"/>
      <c r="L75" s="780"/>
      <c r="M75" s="780"/>
      <c r="N75" s="780"/>
      <c r="O75" s="780"/>
      <c r="P75" s="780"/>
      <c r="Q75" s="780"/>
      <c r="R75" s="780"/>
      <c r="S75" s="780"/>
      <c r="T75" s="780"/>
      <c r="U75" s="252"/>
      <c r="V75" s="252"/>
      <c r="W75" s="252"/>
    </row>
    <row r="76" spans="1:23" s="251" customFormat="1" x14ac:dyDescent="0.25">
      <c r="A76" s="780"/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252"/>
      <c r="V76" s="252"/>
      <c r="W76" s="252"/>
    </row>
    <row r="77" spans="1:23" s="251" customFormat="1" x14ac:dyDescent="0.25">
      <c r="A77" s="780"/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780"/>
      <c r="P77" s="780"/>
      <c r="Q77" s="780"/>
      <c r="R77" s="780"/>
      <c r="S77" s="780"/>
      <c r="T77" s="780"/>
      <c r="U77" s="252"/>
      <c r="V77" s="252"/>
      <c r="W77" s="252"/>
    </row>
    <row r="78" spans="1:23" s="251" customFormat="1" x14ac:dyDescent="0.25">
      <c r="A78" s="780"/>
      <c r="B78" s="780"/>
      <c r="C78" s="780"/>
      <c r="D78" s="780"/>
      <c r="E78" s="780"/>
      <c r="F78" s="780"/>
      <c r="G78" s="780"/>
      <c r="H78" s="780"/>
      <c r="I78" s="780"/>
      <c r="J78" s="780"/>
      <c r="K78" s="780"/>
      <c r="L78" s="780"/>
      <c r="M78" s="780"/>
      <c r="N78" s="780"/>
      <c r="O78" s="780"/>
      <c r="P78" s="780"/>
      <c r="Q78" s="780"/>
      <c r="R78" s="780"/>
      <c r="S78" s="780"/>
      <c r="T78" s="780"/>
      <c r="U78" s="252"/>
      <c r="V78" s="252"/>
      <c r="W78" s="252"/>
    </row>
    <row r="79" spans="1:23" s="251" customFormat="1" x14ac:dyDescent="0.25">
      <c r="A79" s="780"/>
      <c r="B79" s="780"/>
      <c r="C79" s="780"/>
      <c r="D79" s="780"/>
      <c r="E79" s="780"/>
      <c r="F79" s="780"/>
      <c r="G79" s="780"/>
      <c r="H79" s="780"/>
      <c r="I79" s="780"/>
      <c r="J79" s="780"/>
      <c r="K79" s="780"/>
      <c r="L79" s="780"/>
      <c r="M79" s="780"/>
      <c r="N79" s="780"/>
      <c r="O79" s="780"/>
      <c r="P79" s="780"/>
      <c r="Q79" s="780"/>
      <c r="R79" s="780"/>
      <c r="S79" s="780"/>
      <c r="T79" s="780"/>
      <c r="U79" s="252"/>
      <c r="V79" s="252"/>
      <c r="W79" s="252"/>
    </row>
    <row r="80" spans="1:23" s="251" customFormat="1" x14ac:dyDescent="0.25">
      <c r="A80" s="780"/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252"/>
      <c r="V80" s="252"/>
      <c r="W80" s="252"/>
    </row>
    <row r="81" spans="1:23" s="251" customFormat="1" x14ac:dyDescent="0.25">
      <c r="A81" s="780"/>
      <c r="B81" s="780"/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80"/>
      <c r="P81" s="780"/>
      <c r="Q81" s="780"/>
      <c r="R81" s="780"/>
      <c r="S81" s="780"/>
      <c r="T81" s="780"/>
      <c r="U81" s="252"/>
      <c r="V81" s="252"/>
      <c r="W81" s="252"/>
    </row>
    <row r="82" spans="1:23" s="251" customFormat="1" x14ac:dyDescent="0.25">
      <c r="A82" s="780"/>
      <c r="B82" s="780"/>
      <c r="C82" s="780"/>
      <c r="D82" s="780"/>
      <c r="E82" s="780"/>
      <c r="F82" s="780"/>
      <c r="G82" s="780"/>
      <c r="H82" s="780"/>
      <c r="I82" s="780"/>
      <c r="J82" s="780"/>
      <c r="K82" s="780"/>
      <c r="L82" s="780"/>
      <c r="M82" s="780"/>
      <c r="N82" s="780"/>
      <c r="O82" s="780"/>
      <c r="P82" s="780"/>
      <c r="Q82" s="780"/>
      <c r="R82" s="780"/>
      <c r="S82" s="780"/>
      <c r="T82" s="780"/>
      <c r="U82" s="252"/>
      <c r="V82" s="252"/>
      <c r="W82" s="252"/>
    </row>
    <row r="83" spans="1:23" s="251" customFormat="1" x14ac:dyDescent="0.25">
      <c r="A83" s="780"/>
      <c r="B83" s="780"/>
      <c r="C83" s="780"/>
      <c r="D83" s="780"/>
      <c r="E83" s="780"/>
      <c r="F83" s="780"/>
      <c r="G83" s="780"/>
      <c r="H83" s="780"/>
      <c r="I83" s="780"/>
      <c r="J83" s="780"/>
      <c r="K83" s="780"/>
      <c r="L83" s="780"/>
      <c r="M83" s="780"/>
      <c r="N83" s="780"/>
      <c r="O83" s="780"/>
      <c r="P83" s="780"/>
      <c r="Q83" s="780"/>
      <c r="R83" s="780"/>
      <c r="S83" s="780"/>
      <c r="T83" s="780"/>
      <c r="U83" s="252"/>
      <c r="V83" s="252"/>
      <c r="W83" s="252"/>
    </row>
    <row r="84" spans="1:23" s="251" customFormat="1" x14ac:dyDescent="0.25">
      <c r="A84" s="780"/>
      <c r="B84" s="780"/>
      <c r="C84" s="780"/>
      <c r="D84" s="780"/>
      <c r="E84" s="780"/>
      <c r="F84" s="780"/>
      <c r="G84" s="780"/>
      <c r="H84" s="780"/>
      <c r="I84" s="780"/>
      <c r="J84" s="780"/>
      <c r="K84" s="780"/>
      <c r="L84" s="780"/>
      <c r="M84" s="780"/>
      <c r="N84" s="780"/>
      <c r="O84" s="780"/>
      <c r="P84" s="780"/>
      <c r="Q84" s="780"/>
      <c r="R84" s="780"/>
      <c r="S84" s="780"/>
      <c r="T84" s="780"/>
      <c r="U84" s="252"/>
      <c r="V84" s="252"/>
      <c r="W84" s="252"/>
    </row>
    <row r="85" spans="1:23" s="251" customFormat="1" x14ac:dyDescent="0.25">
      <c r="A85" s="262"/>
      <c r="B85" s="263"/>
      <c r="D85" s="264"/>
      <c r="E85" s="264"/>
      <c r="F85" s="264"/>
      <c r="G85" s="265"/>
      <c r="H85" s="265"/>
      <c r="I85" s="265"/>
      <c r="J85" s="265"/>
      <c r="K85" s="265"/>
      <c r="L85" s="265"/>
      <c r="M85" s="265"/>
      <c r="N85" s="265"/>
      <c r="O85" s="266"/>
      <c r="P85" s="266"/>
      <c r="Q85" s="267"/>
      <c r="R85" s="267"/>
      <c r="T85" s="252"/>
      <c r="U85" s="252"/>
      <c r="V85" s="252"/>
      <c r="W85" s="252"/>
    </row>
    <row r="86" spans="1:23" s="251" customFormat="1" x14ac:dyDescent="0.25">
      <c r="A86" s="262"/>
      <c r="B86" s="263"/>
      <c r="D86" s="264"/>
      <c r="E86" s="264"/>
      <c r="F86" s="264"/>
      <c r="G86" s="265"/>
      <c r="H86" s="265"/>
      <c r="I86" s="265"/>
      <c r="J86" s="265"/>
      <c r="K86" s="265"/>
      <c r="L86" s="265"/>
      <c r="M86" s="265"/>
      <c r="N86" s="265"/>
      <c r="O86" s="266"/>
      <c r="P86" s="266"/>
      <c r="Q86" s="267"/>
      <c r="R86" s="267"/>
      <c r="T86" s="252"/>
      <c r="U86" s="252"/>
      <c r="V86" s="252"/>
      <c r="W86" s="252"/>
    </row>
    <row r="87" spans="1:23" s="251" customFormat="1" x14ac:dyDescent="0.25">
      <c r="A87" s="262"/>
      <c r="B87" s="263"/>
      <c r="D87" s="264"/>
      <c r="E87" s="264"/>
      <c r="F87" s="264"/>
      <c r="G87" s="265"/>
      <c r="H87" s="265"/>
      <c r="I87" s="265"/>
      <c r="J87" s="265"/>
      <c r="K87" s="265"/>
      <c r="L87" s="265"/>
      <c r="M87" s="265"/>
      <c r="N87" s="265"/>
      <c r="O87" s="266"/>
      <c r="P87" s="266"/>
      <c r="Q87" s="267"/>
      <c r="R87" s="267"/>
      <c r="T87" s="252"/>
      <c r="U87" s="252"/>
      <c r="V87" s="252"/>
      <c r="W87" s="252"/>
    </row>
    <row r="88" spans="1:23" s="251" customFormat="1" x14ac:dyDescent="0.25">
      <c r="A88" s="262"/>
      <c r="B88" s="263"/>
      <c r="D88" s="264"/>
      <c r="E88" s="264"/>
      <c r="F88" s="264"/>
      <c r="G88" s="265"/>
      <c r="H88" s="265"/>
      <c r="I88" s="265"/>
      <c r="J88" s="265"/>
      <c r="K88" s="265"/>
      <c r="L88" s="265"/>
      <c r="M88" s="265"/>
      <c r="N88" s="265"/>
      <c r="O88" s="266"/>
      <c r="P88" s="266"/>
      <c r="Q88" s="267"/>
      <c r="R88" s="267"/>
      <c r="T88" s="252"/>
      <c r="U88" s="252"/>
      <c r="V88" s="252"/>
      <c r="W88" s="252"/>
    </row>
    <row r="89" spans="1:23" s="251" customFormat="1" x14ac:dyDescent="0.25">
      <c r="A89" s="262"/>
      <c r="B89" s="263"/>
      <c r="D89" s="264"/>
      <c r="E89" s="264"/>
      <c r="F89" s="264"/>
      <c r="G89" s="265"/>
      <c r="H89" s="265"/>
      <c r="I89" s="265"/>
      <c r="J89" s="265"/>
      <c r="K89" s="265"/>
      <c r="L89" s="265"/>
      <c r="M89" s="265"/>
      <c r="N89" s="265"/>
      <c r="O89" s="266"/>
      <c r="P89" s="266"/>
      <c r="Q89" s="267"/>
      <c r="R89" s="267"/>
      <c r="T89" s="252"/>
      <c r="U89" s="252"/>
      <c r="V89" s="252"/>
      <c r="W89" s="252"/>
    </row>
    <row r="90" spans="1:23" s="251" customFormat="1" x14ac:dyDescent="0.25">
      <c r="A90" s="262"/>
      <c r="B90" s="263"/>
      <c r="D90" s="264"/>
      <c r="E90" s="264"/>
      <c r="F90" s="264"/>
      <c r="G90" s="265"/>
      <c r="H90" s="265"/>
      <c r="I90" s="265"/>
      <c r="J90" s="265"/>
      <c r="K90" s="265"/>
      <c r="L90" s="265"/>
      <c r="M90" s="265"/>
      <c r="N90" s="265"/>
      <c r="O90" s="266"/>
      <c r="P90" s="266"/>
      <c r="Q90" s="267"/>
      <c r="R90" s="267"/>
      <c r="T90" s="252"/>
      <c r="U90" s="252"/>
      <c r="V90" s="252"/>
      <c r="W90" s="252"/>
    </row>
    <row r="91" spans="1:23" s="251" customFormat="1" x14ac:dyDescent="0.25">
      <c r="A91" s="262"/>
      <c r="B91" s="263"/>
      <c r="D91" s="264"/>
      <c r="E91" s="264"/>
      <c r="F91" s="264"/>
      <c r="G91" s="265"/>
      <c r="H91" s="265"/>
      <c r="I91" s="265"/>
      <c r="J91" s="265"/>
      <c r="K91" s="265"/>
      <c r="L91" s="265"/>
      <c r="M91" s="265"/>
      <c r="N91" s="265"/>
      <c r="O91" s="266"/>
      <c r="P91" s="266"/>
      <c r="Q91" s="267"/>
      <c r="R91" s="267"/>
      <c r="T91" s="252"/>
      <c r="U91" s="252"/>
      <c r="V91" s="252"/>
      <c r="W91" s="252"/>
    </row>
    <row r="92" spans="1:23" s="251" customFormat="1" x14ac:dyDescent="0.25">
      <c r="A92" s="262"/>
      <c r="B92" s="263"/>
      <c r="D92" s="264"/>
      <c r="E92" s="264"/>
      <c r="F92" s="264"/>
      <c r="G92" s="265"/>
      <c r="H92" s="265"/>
      <c r="I92" s="265"/>
      <c r="J92" s="265"/>
      <c r="K92" s="265"/>
      <c r="L92" s="265"/>
      <c r="M92" s="265"/>
      <c r="N92" s="265"/>
      <c r="O92" s="266"/>
      <c r="P92" s="266"/>
      <c r="Q92" s="267"/>
      <c r="R92" s="267"/>
      <c r="T92" s="252"/>
      <c r="U92" s="252"/>
      <c r="V92" s="252"/>
      <c r="W92" s="252"/>
    </row>
    <row r="93" spans="1:23" s="251" customFormat="1" x14ac:dyDescent="0.25">
      <c r="A93" s="262"/>
      <c r="B93" s="263"/>
      <c r="D93" s="264"/>
      <c r="E93" s="264"/>
      <c r="F93" s="264"/>
      <c r="G93" s="265"/>
      <c r="H93" s="265"/>
      <c r="I93" s="265"/>
      <c r="J93" s="265"/>
      <c r="K93" s="265"/>
      <c r="L93" s="265"/>
      <c r="M93" s="265"/>
      <c r="N93" s="265"/>
      <c r="O93" s="266"/>
      <c r="P93" s="266"/>
      <c r="Q93" s="267"/>
      <c r="R93" s="267"/>
      <c r="T93" s="252"/>
      <c r="U93" s="252"/>
      <c r="V93" s="252"/>
      <c r="W93" s="252"/>
    </row>
    <row r="94" spans="1:23" s="251" customFormat="1" x14ac:dyDescent="0.25">
      <c r="A94" s="262"/>
      <c r="B94" s="263"/>
      <c r="D94" s="264"/>
      <c r="E94" s="264"/>
      <c r="F94" s="264"/>
      <c r="G94" s="265"/>
      <c r="H94" s="265"/>
      <c r="I94" s="265"/>
      <c r="J94" s="265"/>
      <c r="K94" s="265"/>
      <c r="L94" s="265"/>
      <c r="M94" s="265"/>
      <c r="N94" s="265"/>
      <c r="O94" s="266"/>
      <c r="P94" s="266"/>
      <c r="Q94" s="267"/>
      <c r="R94" s="267"/>
      <c r="T94" s="252"/>
      <c r="U94" s="252"/>
      <c r="V94" s="252"/>
      <c r="W94" s="252"/>
    </row>
    <row r="95" spans="1:23" s="251" customFormat="1" x14ac:dyDescent="0.25">
      <c r="A95" s="262"/>
      <c r="B95" s="263"/>
      <c r="D95" s="264"/>
      <c r="E95" s="264"/>
      <c r="F95" s="264"/>
      <c r="G95" s="265"/>
      <c r="H95" s="265"/>
      <c r="I95" s="265"/>
      <c r="J95" s="265"/>
      <c r="K95" s="265"/>
      <c r="L95" s="265"/>
      <c r="M95" s="265"/>
      <c r="N95" s="265"/>
      <c r="O95" s="266"/>
      <c r="P95" s="266"/>
      <c r="Q95" s="267"/>
      <c r="R95" s="267"/>
      <c r="T95" s="252"/>
      <c r="U95" s="252"/>
      <c r="V95" s="252"/>
      <c r="W95" s="252"/>
    </row>
    <row r="96" spans="1:23" s="251" customFormat="1" x14ac:dyDescent="0.25">
      <c r="A96" s="262"/>
      <c r="B96" s="263"/>
      <c r="D96" s="264"/>
      <c r="E96" s="264"/>
      <c r="F96" s="264"/>
      <c r="G96" s="265"/>
      <c r="H96" s="265"/>
      <c r="I96" s="265"/>
      <c r="J96" s="265"/>
      <c r="K96" s="265"/>
      <c r="L96" s="265"/>
      <c r="M96" s="265"/>
      <c r="N96" s="265"/>
      <c r="O96" s="266"/>
      <c r="P96" s="266"/>
      <c r="Q96" s="267"/>
      <c r="R96" s="267"/>
      <c r="T96" s="252"/>
      <c r="U96" s="252"/>
      <c r="V96" s="252"/>
      <c r="W96" s="252"/>
    </row>
    <row r="97" spans="1:23" s="251" customFormat="1" x14ac:dyDescent="0.25">
      <c r="A97" s="262"/>
      <c r="B97" s="263"/>
      <c r="D97" s="264"/>
      <c r="E97" s="264"/>
      <c r="F97" s="264"/>
      <c r="G97" s="265"/>
      <c r="H97" s="265"/>
      <c r="I97" s="265"/>
      <c r="J97" s="265"/>
      <c r="K97" s="265"/>
      <c r="L97" s="265"/>
      <c r="M97" s="265"/>
      <c r="N97" s="265"/>
      <c r="O97" s="266"/>
      <c r="P97" s="266"/>
      <c r="Q97" s="267"/>
      <c r="R97" s="267"/>
      <c r="T97" s="252"/>
      <c r="U97" s="252"/>
      <c r="V97" s="252"/>
      <c r="W97" s="252"/>
    </row>
    <row r="98" spans="1:23" s="251" customFormat="1" x14ac:dyDescent="0.25">
      <c r="A98" s="262"/>
      <c r="B98" s="263"/>
      <c r="D98" s="264"/>
      <c r="E98" s="264"/>
      <c r="F98" s="264"/>
      <c r="G98" s="265"/>
      <c r="H98" s="265"/>
      <c r="I98" s="265"/>
      <c r="J98" s="265"/>
      <c r="K98" s="265"/>
      <c r="L98" s="265"/>
      <c r="M98" s="265"/>
      <c r="N98" s="265"/>
      <c r="O98" s="266"/>
      <c r="P98" s="266"/>
      <c r="Q98" s="267"/>
      <c r="R98" s="267"/>
      <c r="T98" s="252"/>
      <c r="U98" s="252"/>
      <c r="V98" s="252"/>
      <c r="W98" s="252"/>
    </row>
    <row r="99" spans="1:23" s="251" customFormat="1" x14ac:dyDescent="0.25">
      <c r="A99" s="262"/>
      <c r="B99" s="263"/>
      <c r="D99" s="264"/>
      <c r="E99" s="264"/>
      <c r="F99" s="264"/>
      <c r="G99" s="265"/>
      <c r="H99" s="265"/>
      <c r="I99" s="265"/>
      <c r="J99" s="265"/>
      <c r="K99" s="265"/>
      <c r="L99" s="265"/>
      <c r="M99" s="265"/>
      <c r="N99" s="265"/>
      <c r="O99" s="266"/>
      <c r="P99" s="266"/>
      <c r="Q99" s="267"/>
      <c r="R99" s="267"/>
      <c r="T99" s="252"/>
      <c r="U99" s="252"/>
      <c r="V99" s="252"/>
      <c r="W99" s="252"/>
    </row>
    <row r="100" spans="1:23" s="251" customFormat="1" x14ac:dyDescent="0.25">
      <c r="A100" s="262"/>
      <c r="B100" s="263"/>
      <c r="D100" s="264"/>
      <c r="E100" s="264"/>
      <c r="F100" s="264"/>
      <c r="G100" s="265"/>
      <c r="H100" s="265"/>
      <c r="I100" s="265"/>
      <c r="J100" s="265"/>
      <c r="K100" s="265"/>
      <c r="L100" s="265"/>
      <c r="M100" s="265"/>
      <c r="N100" s="265"/>
      <c r="O100" s="266"/>
      <c r="P100" s="266"/>
      <c r="Q100" s="267"/>
      <c r="R100" s="267"/>
      <c r="T100" s="252"/>
      <c r="U100" s="252"/>
      <c r="V100" s="252"/>
      <c r="W100" s="252"/>
    </row>
    <row r="101" spans="1:23" s="251" customFormat="1" x14ac:dyDescent="0.25">
      <c r="A101" s="262"/>
      <c r="B101" s="263"/>
      <c r="D101" s="264"/>
      <c r="E101" s="264"/>
      <c r="F101" s="264"/>
      <c r="G101" s="265"/>
      <c r="H101" s="265"/>
      <c r="I101" s="265"/>
      <c r="J101" s="265"/>
      <c r="K101" s="265"/>
      <c r="L101" s="265"/>
      <c r="M101" s="265"/>
      <c r="N101" s="265"/>
      <c r="O101" s="266"/>
      <c r="P101" s="266"/>
      <c r="Q101" s="267"/>
      <c r="R101" s="267"/>
      <c r="T101" s="252"/>
      <c r="U101" s="252"/>
      <c r="V101" s="252"/>
      <c r="W101" s="252"/>
    </row>
    <row r="102" spans="1:23" s="251" customFormat="1" x14ac:dyDescent="0.25">
      <c r="A102" s="262"/>
      <c r="B102" s="263"/>
      <c r="D102" s="264"/>
      <c r="E102" s="264"/>
      <c r="F102" s="264"/>
      <c r="G102" s="265"/>
      <c r="H102" s="265"/>
      <c r="I102" s="265"/>
      <c r="J102" s="265"/>
      <c r="K102" s="265"/>
      <c r="L102" s="265"/>
      <c r="M102" s="265"/>
      <c r="N102" s="265"/>
      <c r="O102" s="266"/>
      <c r="P102" s="266"/>
      <c r="Q102" s="267"/>
      <c r="R102" s="267"/>
      <c r="T102" s="252"/>
      <c r="U102" s="252"/>
      <c r="V102" s="252"/>
      <c r="W102" s="252"/>
    </row>
    <row r="103" spans="1:23" s="251" customFormat="1" x14ac:dyDescent="0.25">
      <c r="A103" s="262"/>
      <c r="B103" s="263"/>
      <c r="D103" s="264"/>
      <c r="E103" s="264"/>
      <c r="F103" s="264"/>
      <c r="G103" s="265"/>
      <c r="H103" s="265"/>
      <c r="I103" s="265"/>
      <c r="J103" s="265"/>
      <c r="K103" s="265"/>
      <c r="L103" s="265"/>
      <c r="M103" s="265"/>
      <c r="N103" s="265"/>
      <c r="O103" s="266"/>
      <c r="P103" s="266"/>
      <c r="Q103" s="267"/>
      <c r="R103" s="267"/>
      <c r="T103" s="252"/>
      <c r="U103" s="252"/>
      <c r="V103" s="252"/>
      <c r="W103" s="252"/>
    </row>
    <row r="104" spans="1:23" s="251" customFormat="1" x14ac:dyDescent="0.25">
      <c r="A104" s="262"/>
      <c r="B104" s="263"/>
      <c r="D104" s="264"/>
      <c r="E104" s="264"/>
      <c r="F104" s="264"/>
      <c r="G104" s="265"/>
      <c r="H104" s="265"/>
      <c r="I104" s="265"/>
      <c r="J104" s="265"/>
      <c r="K104" s="265"/>
      <c r="L104" s="265"/>
      <c r="M104" s="265"/>
      <c r="N104" s="265"/>
      <c r="O104" s="266"/>
      <c r="P104" s="266"/>
      <c r="Q104" s="267"/>
      <c r="R104" s="267"/>
      <c r="T104" s="252"/>
      <c r="U104" s="252"/>
      <c r="V104" s="252"/>
      <c r="W104" s="252"/>
    </row>
    <row r="105" spans="1:23" s="251" customFormat="1" x14ac:dyDescent="0.25">
      <c r="A105" s="262"/>
      <c r="B105" s="263"/>
      <c r="D105" s="264"/>
      <c r="E105" s="264"/>
      <c r="F105" s="264"/>
      <c r="G105" s="265"/>
      <c r="H105" s="265"/>
      <c r="I105" s="265"/>
      <c r="J105" s="265"/>
      <c r="K105" s="265"/>
      <c r="L105" s="265"/>
      <c r="M105" s="265"/>
      <c r="N105" s="265"/>
      <c r="O105" s="266"/>
      <c r="P105" s="266"/>
      <c r="Q105" s="267"/>
      <c r="R105" s="267"/>
      <c r="T105" s="252"/>
      <c r="U105" s="252"/>
      <c r="V105" s="252"/>
      <c r="W105" s="252"/>
    </row>
    <row r="106" spans="1:23" s="251" customFormat="1" x14ac:dyDescent="0.25">
      <c r="A106" s="262"/>
      <c r="B106" s="263"/>
      <c r="D106" s="264"/>
      <c r="E106" s="264"/>
      <c r="F106" s="264"/>
      <c r="G106" s="265"/>
      <c r="H106" s="265"/>
      <c r="I106" s="265"/>
      <c r="J106" s="265"/>
      <c r="K106" s="265"/>
      <c r="L106" s="265"/>
      <c r="M106" s="265"/>
      <c r="N106" s="265"/>
      <c r="O106" s="266"/>
      <c r="P106" s="266"/>
      <c r="Q106" s="267"/>
      <c r="R106" s="267"/>
      <c r="T106" s="252"/>
      <c r="U106" s="252"/>
      <c r="V106" s="252"/>
      <c r="W106" s="252"/>
    </row>
    <row r="107" spans="1:23" s="251" customFormat="1" x14ac:dyDescent="0.25">
      <c r="A107" s="262"/>
      <c r="B107" s="263"/>
      <c r="D107" s="264"/>
      <c r="E107" s="264"/>
      <c r="F107" s="264"/>
      <c r="G107" s="265"/>
      <c r="H107" s="265"/>
      <c r="I107" s="265"/>
      <c r="J107" s="265"/>
      <c r="K107" s="265"/>
      <c r="L107" s="265"/>
      <c r="M107" s="265"/>
      <c r="N107" s="265"/>
      <c r="O107" s="266"/>
      <c r="P107" s="266"/>
      <c r="Q107" s="267"/>
      <c r="R107" s="267"/>
      <c r="T107" s="252"/>
      <c r="U107" s="252"/>
      <c r="V107" s="252"/>
      <c r="W107" s="252"/>
    </row>
    <row r="108" spans="1:23" s="251" customFormat="1" x14ac:dyDescent="0.25">
      <c r="A108" s="262"/>
      <c r="B108" s="263"/>
      <c r="D108" s="264"/>
      <c r="E108" s="264"/>
      <c r="F108" s="264"/>
      <c r="G108" s="265"/>
      <c r="H108" s="265"/>
      <c r="I108" s="265"/>
      <c r="J108" s="265"/>
      <c r="K108" s="265"/>
      <c r="L108" s="265"/>
      <c r="M108" s="265"/>
      <c r="N108" s="265"/>
      <c r="O108" s="266"/>
      <c r="P108" s="266"/>
      <c r="Q108" s="267"/>
      <c r="R108" s="267"/>
      <c r="T108" s="252"/>
      <c r="U108" s="252"/>
      <c r="V108" s="252"/>
      <c r="W108" s="252"/>
    </row>
    <row r="109" spans="1:23" s="251" customFormat="1" x14ac:dyDescent="0.25">
      <c r="A109" s="262"/>
      <c r="B109" s="263"/>
      <c r="D109" s="264"/>
      <c r="E109" s="264"/>
      <c r="F109" s="264"/>
      <c r="G109" s="265"/>
      <c r="H109" s="265"/>
      <c r="I109" s="265"/>
      <c r="J109" s="265"/>
      <c r="K109" s="265"/>
      <c r="L109" s="265"/>
      <c r="M109" s="265"/>
      <c r="N109" s="265"/>
      <c r="O109" s="266"/>
      <c r="P109" s="266"/>
      <c r="Q109" s="267"/>
      <c r="R109" s="267"/>
      <c r="T109" s="252"/>
      <c r="U109" s="252"/>
      <c r="V109" s="252"/>
      <c r="W109" s="252"/>
    </row>
    <row r="110" spans="1:23" s="251" customFormat="1" x14ac:dyDescent="0.25">
      <c r="A110" s="262"/>
      <c r="B110" s="263"/>
      <c r="D110" s="264"/>
      <c r="E110" s="264"/>
      <c r="F110" s="264"/>
      <c r="G110" s="265"/>
      <c r="H110" s="265"/>
      <c r="I110" s="265"/>
      <c r="J110" s="265"/>
      <c r="K110" s="265"/>
      <c r="L110" s="265"/>
      <c r="M110" s="265"/>
      <c r="N110" s="265"/>
      <c r="O110" s="266"/>
      <c r="P110" s="266"/>
      <c r="Q110" s="267"/>
      <c r="R110" s="267"/>
      <c r="T110" s="252"/>
      <c r="U110" s="252"/>
      <c r="V110" s="252"/>
      <c r="W110" s="252"/>
    </row>
    <row r="111" spans="1:23" s="251" customFormat="1" x14ac:dyDescent="0.25">
      <c r="A111" s="262"/>
      <c r="B111" s="263"/>
      <c r="D111" s="264"/>
      <c r="E111" s="264"/>
      <c r="F111" s="264"/>
      <c r="G111" s="265"/>
      <c r="H111" s="265"/>
      <c r="I111" s="265"/>
      <c r="J111" s="265"/>
      <c r="K111" s="265"/>
      <c r="L111" s="265"/>
      <c r="M111" s="265"/>
      <c r="N111" s="265"/>
      <c r="O111" s="266"/>
      <c r="P111" s="266"/>
      <c r="Q111" s="267"/>
      <c r="R111" s="267"/>
      <c r="T111" s="252"/>
      <c r="U111" s="252"/>
      <c r="V111" s="252"/>
      <c r="W111" s="252"/>
    </row>
    <row r="112" spans="1:23" s="251" customFormat="1" x14ac:dyDescent="0.25">
      <c r="A112" s="262"/>
      <c r="B112" s="263"/>
      <c r="D112" s="264"/>
      <c r="E112" s="264"/>
      <c r="F112" s="264"/>
      <c r="G112" s="265"/>
      <c r="H112" s="265"/>
      <c r="I112" s="265"/>
      <c r="J112" s="265"/>
      <c r="K112" s="265"/>
      <c r="L112" s="265"/>
      <c r="M112" s="265"/>
      <c r="N112" s="265"/>
      <c r="O112" s="266"/>
      <c r="P112" s="266"/>
      <c r="Q112" s="267"/>
      <c r="R112" s="267"/>
      <c r="T112" s="252"/>
      <c r="U112" s="252"/>
      <c r="V112" s="252"/>
      <c r="W112" s="252"/>
    </row>
    <row r="113" spans="1:23" s="251" customFormat="1" x14ac:dyDescent="0.25">
      <c r="A113" s="262"/>
      <c r="B113" s="263"/>
      <c r="D113" s="264"/>
      <c r="E113" s="264"/>
      <c r="F113" s="264"/>
      <c r="G113" s="265"/>
      <c r="H113" s="265"/>
      <c r="I113" s="265"/>
      <c r="J113" s="265"/>
      <c r="K113" s="265"/>
      <c r="L113" s="265"/>
      <c r="M113" s="265"/>
      <c r="N113" s="265"/>
      <c r="O113" s="266"/>
      <c r="P113" s="266"/>
      <c r="Q113" s="267"/>
      <c r="R113" s="267"/>
      <c r="T113" s="252"/>
      <c r="U113" s="252"/>
      <c r="V113" s="252"/>
      <c r="W113" s="252"/>
    </row>
    <row r="114" spans="1:23" s="251" customFormat="1" x14ac:dyDescent="0.25">
      <c r="A114" s="262"/>
      <c r="B114" s="263"/>
      <c r="D114" s="264"/>
      <c r="E114" s="264"/>
      <c r="F114" s="264"/>
      <c r="G114" s="265"/>
      <c r="H114" s="265"/>
      <c r="I114" s="265"/>
      <c r="J114" s="265"/>
      <c r="K114" s="265"/>
      <c r="L114" s="265"/>
      <c r="M114" s="265"/>
      <c r="N114" s="265"/>
      <c r="O114" s="266"/>
      <c r="P114" s="266"/>
      <c r="Q114" s="267"/>
      <c r="R114" s="267"/>
      <c r="T114" s="252"/>
      <c r="U114" s="252"/>
      <c r="V114" s="252"/>
      <c r="W114" s="252"/>
    </row>
    <row r="115" spans="1:23" s="251" customFormat="1" x14ac:dyDescent="0.25">
      <c r="A115" s="262"/>
      <c r="B115" s="263"/>
      <c r="D115" s="264"/>
      <c r="E115" s="264"/>
      <c r="F115" s="264"/>
      <c r="G115" s="265"/>
      <c r="H115" s="265"/>
      <c r="I115" s="265"/>
      <c r="J115" s="265"/>
      <c r="K115" s="265"/>
      <c r="L115" s="265"/>
      <c r="M115" s="265"/>
      <c r="N115" s="265"/>
      <c r="O115" s="266"/>
      <c r="P115" s="266"/>
      <c r="Q115" s="267"/>
      <c r="R115" s="267"/>
      <c r="T115" s="252"/>
      <c r="U115" s="252"/>
      <c r="V115" s="252"/>
      <c r="W115" s="252"/>
    </row>
    <row r="116" spans="1:23" s="251" customFormat="1" x14ac:dyDescent="0.25">
      <c r="A116" s="262"/>
      <c r="B116" s="263"/>
      <c r="D116" s="264"/>
      <c r="E116" s="264"/>
      <c r="F116" s="264"/>
      <c r="G116" s="265"/>
      <c r="H116" s="265"/>
      <c r="I116" s="265"/>
      <c r="J116" s="265"/>
      <c r="K116" s="265"/>
      <c r="L116" s="265"/>
      <c r="M116" s="265"/>
      <c r="N116" s="265"/>
      <c r="O116" s="266"/>
      <c r="P116" s="266"/>
      <c r="Q116" s="267"/>
      <c r="R116" s="267"/>
      <c r="T116" s="252"/>
      <c r="U116" s="252"/>
      <c r="V116" s="252"/>
      <c r="W116" s="252"/>
    </row>
    <row r="117" spans="1:23" s="251" customFormat="1" x14ac:dyDescent="0.25">
      <c r="A117" s="262"/>
      <c r="B117" s="263"/>
      <c r="D117" s="264"/>
      <c r="E117" s="264"/>
      <c r="F117" s="264"/>
      <c r="G117" s="265"/>
      <c r="H117" s="265"/>
      <c r="I117" s="265"/>
      <c r="J117" s="265"/>
      <c r="K117" s="265"/>
      <c r="L117" s="265"/>
      <c r="M117" s="265"/>
      <c r="N117" s="265"/>
      <c r="O117" s="266"/>
      <c r="P117" s="266"/>
      <c r="Q117" s="267"/>
      <c r="R117" s="267"/>
      <c r="T117" s="252"/>
      <c r="U117" s="252"/>
      <c r="V117" s="252"/>
      <c r="W117" s="252"/>
    </row>
    <row r="118" spans="1:23" s="251" customFormat="1" x14ac:dyDescent="0.25">
      <c r="A118" s="262"/>
      <c r="B118" s="263"/>
      <c r="D118" s="264"/>
      <c r="E118" s="264"/>
      <c r="F118" s="264"/>
      <c r="G118" s="265"/>
      <c r="H118" s="265"/>
      <c r="I118" s="265"/>
      <c r="J118" s="265"/>
      <c r="K118" s="265"/>
      <c r="L118" s="265"/>
      <c r="M118" s="265"/>
      <c r="N118" s="265"/>
      <c r="O118" s="266"/>
      <c r="P118" s="266"/>
      <c r="Q118" s="267"/>
      <c r="R118" s="267"/>
      <c r="T118" s="252"/>
      <c r="U118" s="252"/>
      <c r="V118" s="252"/>
      <c r="W118" s="252"/>
    </row>
    <row r="119" spans="1:23" s="251" customFormat="1" x14ac:dyDescent="0.25">
      <c r="A119" s="262"/>
      <c r="B119" s="263"/>
      <c r="D119" s="264"/>
      <c r="E119" s="264"/>
      <c r="F119" s="264"/>
      <c r="G119" s="265"/>
      <c r="H119" s="265"/>
      <c r="I119" s="265"/>
      <c r="J119" s="265"/>
      <c r="K119" s="265"/>
      <c r="L119" s="265"/>
      <c r="M119" s="265"/>
      <c r="N119" s="265"/>
      <c r="O119" s="266"/>
      <c r="P119" s="266"/>
      <c r="Q119" s="267"/>
      <c r="R119" s="267"/>
      <c r="T119" s="252"/>
      <c r="U119" s="252"/>
      <c r="V119" s="252"/>
      <c r="W119" s="252"/>
    </row>
    <row r="120" spans="1:23" s="251" customFormat="1" x14ac:dyDescent="0.25">
      <c r="A120" s="262"/>
      <c r="B120" s="263"/>
      <c r="D120" s="264"/>
      <c r="E120" s="264"/>
      <c r="F120" s="264"/>
      <c r="G120" s="265"/>
      <c r="H120" s="265"/>
      <c r="I120" s="265"/>
      <c r="J120" s="265"/>
      <c r="K120" s="265"/>
      <c r="L120" s="265"/>
      <c r="M120" s="265"/>
      <c r="N120" s="265"/>
      <c r="O120" s="266"/>
      <c r="P120" s="266"/>
      <c r="Q120" s="267"/>
      <c r="R120" s="267"/>
      <c r="T120" s="252"/>
      <c r="U120" s="252"/>
      <c r="V120" s="252"/>
      <c r="W120" s="252"/>
    </row>
  </sheetData>
  <sheetProtection password="FB6B" sheet="1" formatCells="0" formatColumns="0" formatRows="0"/>
  <mergeCells count="96">
    <mergeCell ref="S47:T47"/>
    <mergeCell ref="G51:T51"/>
    <mergeCell ref="G52:G53"/>
    <mergeCell ref="H52:H53"/>
    <mergeCell ref="I52:J52"/>
    <mergeCell ref="S52:T52"/>
    <mergeCell ref="A48:T48"/>
    <mergeCell ref="F50:F53"/>
    <mergeCell ref="G50:T50"/>
    <mergeCell ref="S49:T49"/>
    <mergeCell ref="K52:N52"/>
    <mergeCell ref="O52:R52"/>
    <mergeCell ref="B57:E57"/>
    <mergeCell ref="B54:E54"/>
    <mergeCell ref="B55:E55"/>
    <mergeCell ref="B56:E56"/>
    <mergeCell ref="A50:A53"/>
    <mergeCell ref="B50:E53"/>
    <mergeCell ref="B58:E58"/>
    <mergeCell ref="B59:E59"/>
    <mergeCell ref="B60:E60"/>
    <mergeCell ref="B63:E63"/>
    <mergeCell ref="B64:E64"/>
    <mergeCell ref="B65:E65"/>
    <mergeCell ref="B66:E66"/>
    <mergeCell ref="B67:E67"/>
    <mergeCell ref="B61:E61"/>
    <mergeCell ref="B62:E62"/>
    <mergeCell ref="H7:S7"/>
    <mergeCell ref="B15:E15"/>
    <mergeCell ref="B16:E16"/>
    <mergeCell ref="A12:A14"/>
    <mergeCell ref="B12:E14"/>
    <mergeCell ref="F12:F14"/>
    <mergeCell ref="A8:G8"/>
    <mergeCell ref="G12:T12"/>
    <mergeCell ref="S13:T13"/>
    <mergeCell ref="G13:G14"/>
    <mergeCell ref="H13:H14"/>
    <mergeCell ref="K13:N13"/>
    <mergeCell ref="O13:R13"/>
    <mergeCell ref="I13:J13"/>
    <mergeCell ref="M11:T11"/>
    <mergeCell ref="B30:E30"/>
    <mergeCell ref="B23:E23"/>
    <mergeCell ref="B25:E25"/>
    <mergeCell ref="B26:E26"/>
    <mergeCell ref="B17:E17"/>
    <mergeCell ref="B18:E18"/>
    <mergeCell ref="B19:E19"/>
    <mergeCell ref="B20:E20"/>
    <mergeCell ref="B24:E24"/>
    <mergeCell ref="B27:E27"/>
    <mergeCell ref="B28:E28"/>
    <mergeCell ref="B29:E29"/>
    <mergeCell ref="B22:E22"/>
    <mergeCell ref="B21:E21"/>
    <mergeCell ref="S46:T46"/>
    <mergeCell ref="B31:E31"/>
    <mergeCell ref="B32:E32"/>
    <mergeCell ref="B38:I38"/>
    <mergeCell ref="D46:E46"/>
    <mergeCell ref="F46:G46"/>
    <mergeCell ref="B46:C46"/>
    <mergeCell ref="B35:I35"/>
    <mergeCell ref="B36:I36"/>
    <mergeCell ref="B43:I43"/>
    <mergeCell ref="B37:I37"/>
    <mergeCell ref="B40:I40"/>
    <mergeCell ref="B41:I41"/>
    <mergeCell ref="B42:I42"/>
    <mergeCell ref="B39:I39"/>
    <mergeCell ref="S1:T1"/>
    <mergeCell ref="A9:G9"/>
    <mergeCell ref="A10:G10"/>
    <mergeCell ref="A7:G7"/>
    <mergeCell ref="H8:S8"/>
    <mergeCell ref="H9:S9"/>
    <mergeCell ref="H10:S10"/>
    <mergeCell ref="A4:C4"/>
    <mergeCell ref="A5:C5"/>
    <mergeCell ref="D4:M4"/>
    <mergeCell ref="D5:M5"/>
    <mergeCell ref="A3:T3"/>
    <mergeCell ref="D1:E1"/>
    <mergeCell ref="B1:C1"/>
    <mergeCell ref="F1:G1"/>
    <mergeCell ref="A6:G6"/>
    <mergeCell ref="A79:T80"/>
    <mergeCell ref="A81:T82"/>
    <mergeCell ref="A83:T84"/>
    <mergeCell ref="A69:T70"/>
    <mergeCell ref="A71:T72"/>
    <mergeCell ref="A73:T74"/>
    <mergeCell ref="A75:T76"/>
    <mergeCell ref="A77:T78"/>
  </mergeCells>
  <pageMargins left="0" right="0" top="0" bottom="0" header="0.39370078740157483" footer="0.31496062992125984"/>
  <pageSetup paperSize="9" scale="39" orientation="landscape" r:id="rId1"/>
  <headerFooter alignWithMargins="0">
    <oddFooter>&amp;RСтор.  &amp;P</oddFooter>
  </headerFooter>
  <rowBreaks count="1" manualBreakCount="1">
    <brk id="44" max="19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5">
    <tabColor rgb="FF92D050"/>
  </sheetPr>
  <dimension ref="A1:AL270"/>
  <sheetViews>
    <sheetView showGridLines="0" view="pageBreakPreview" topLeftCell="A20" zoomScale="80" zoomScaleNormal="50" zoomScaleSheetLayoutView="80" zoomScalePageLayoutView="50" workbookViewId="0">
      <selection activeCell="P35" sqref="P35"/>
    </sheetView>
  </sheetViews>
  <sheetFormatPr defaultColWidth="8.85546875" defaultRowHeight="18.75" x14ac:dyDescent="0.25"/>
  <cols>
    <col min="1" max="1" width="12.5703125" style="28" customWidth="1"/>
    <col min="2" max="2" width="14.85546875" style="1" customWidth="1"/>
    <col min="3" max="3" width="42.5703125" style="2" customWidth="1"/>
    <col min="4" max="4" width="17.42578125" style="118" customWidth="1"/>
    <col min="5" max="5" width="23.5703125" style="118" customWidth="1"/>
    <col min="6" max="6" width="19.5703125" style="118" customWidth="1"/>
    <col min="7" max="7" width="17.5703125" style="118" customWidth="1"/>
    <col min="8" max="9" width="18.5703125" style="4" customWidth="1"/>
    <col min="10" max="10" width="22.5703125" style="4" customWidth="1"/>
    <col min="11" max="11" width="18.42578125" style="4" customWidth="1"/>
    <col min="12" max="12" width="17.42578125" style="4" customWidth="1"/>
    <col min="13" max="13" width="15" style="18" customWidth="1"/>
    <col min="14" max="14" width="17.42578125" style="18" customWidth="1"/>
    <col min="15" max="15" width="18.42578125" style="16" customWidth="1"/>
    <col min="16" max="16" width="17.5703125" style="2" customWidth="1"/>
    <col min="17" max="17" width="17.42578125" style="76" customWidth="1"/>
    <col min="18" max="18" width="15.42578125" style="183" customWidth="1"/>
    <col min="19" max="38" width="8.85546875" style="183"/>
    <col min="39" max="231" width="8.85546875" style="2"/>
    <col min="232" max="232" width="78.5703125" style="2" customWidth="1"/>
    <col min="233" max="235" width="19.42578125" style="2" customWidth="1"/>
    <col min="236" max="16384" width="8.85546875" style="2"/>
  </cols>
  <sheetData>
    <row r="1" spans="1:38" ht="22.35" customHeight="1" x14ac:dyDescent="0.25">
      <c r="B1" s="799" t="s">
        <v>0</v>
      </c>
      <c r="C1" s="799"/>
      <c r="D1" s="791">
        <f>'Звіт 1,2,3'!D1:I1</f>
        <v>37650571</v>
      </c>
      <c r="E1" s="792"/>
      <c r="F1" s="793"/>
      <c r="G1" s="800" t="s">
        <v>1</v>
      </c>
      <c r="H1" s="800"/>
      <c r="I1" s="124">
        <f>'Звіт 1,2,3'!H1</f>
        <v>150</v>
      </c>
      <c r="J1" s="155"/>
      <c r="K1" s="155"/>
      <c r="L1" s="155"/>
      <c r="M1" s="155"/>
      <c r="N1" s="155"/>
      <c r="O1" s="901" t="s">
        <v>425</v>
      </c>
      <c r="P1" s="901"/>
      <c r="Q1" s="901"/>
    </row>
    <row r="2" spans="1:38" ht="22.35" customHeight="1" x14ac:dyDescent="0.25">
      <c r="G2" s="4"/>
      <c r="J2" s="13"/>
      <c r="K2" s="2"/>
      <c r="L2" s="2"/>
      <c r="M2" s="2"/>
      <c r="N2" s="2"/>
      <c r="O2" s="902" t="s">
        <v>369</v>
      </c>
      <c r="P2" s="902"/>
      <c r="Q2" s="902"/>
    </row>
    <row r="3" spans="1:38" ht="19.350000000000001" customHeight="1" x14ac:dyDescent="0.25">
      <c r="A3" s="851" t="str">
        <f>'Звіт 1,2,3'!A3</f>
        <v>ЗВІТ ПРО ДОХОДИ ТА ВИТРАТИ за квартал 2020 року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</row>
    <row r="4" spans="1:38" s="76" customFormat="1" ht="37.700000000000003" customHeight="1" x14ac:dyDescent="0.25">
      <c r="A4" s="898" t="s">
        <v>321</v>
      </c>
      <c r="B4" s="898"/>
      <c r="C4" s="898"/>
      <c r="D4" s="61"/>
      <c r="E4" s="61"/>
      <c r="F4" s="61"/>
      <c r="G4" s="61"/>
      <c r="H4" s="61"/>
      <c r="I4" s="61"/>
      <c r="J4" s="61"/>
      <c r="K4" s="61"/>
      <c r="L4" s="61"/>
      <c r="N4" s="574" t="s">
        <v>620</v>
      </c>
      <c r="O4" s="574"/>
      <c r="P4" s="574"/>
      <c r="Q4" s="183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38" s="76" customFormat="1" ht="42" customHeight="1" x14ac:dyDescent="0.25">
      <c r="A5" s="334" t="s">
        <v>6</v>
      </c>
      <c r="B5" s="818" t="s">
        <v>7</v>
      </c>
      <c r="C5" s="818"/>
      <c r="D5" s="818"/>
      <c r="E5" s="818"/>
      <c r="F5" s="66" t="s">
        <v>91</v>
      </c>
      <c r="G5" s="335" t="s">
        <v>361</v>
      </c>
      <c r="H5" s="66" t="s">
        <v>8</v>
      </c>
      <c r="I5" s="335" t="s">
        <v>361</v>
      </c>
      <c r="J5" s="336" t="s">
        <v>91</v>
      </c>
      <c r="K5" s="336" t="s">
        <v>8</v>
      </c>
      <c r="L5" s="342" t="s">
        <v>524</v>
      </c>
      <c r="M5" s="184"/>
      <c r="N5" s="916" t="s">
        <v>7</v>
      </c>
      <c r="O5" s="917"/>
      <c r="P5" s="917"/>
      <c r="Q5" s="918"/>
      <c r="R5" s="66" t="s">
        <v>8</v>
      </c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s="76" customFormat="1" ht="37.35" customHeight="1" x14ac:dyDescent="0.25">
      <c r="A6" s="334" t="s">
        <v>9</v>
      </c>
      <c r="B6" s="818">
        <v>2</v>
      </c>
      <c r="C6" s="818"/>
      <c r="D6" s="818"/>
      <c r="E6" s="818"/>
      <c r="F6" s="72">
        <v>3</v>
      </c>
      <c r="G6" s="73">
        <v>4</v>
      </c>
      <c r="H6" s="72">
        <v>5</v>
      </c>
      <c r="I6" s="333">
        <v>6</v>
      </c>
      <c r="J6" s="903" t="s">
        <v>440</v>
      </c>
      <c r="K6" s="903"/>
      <c r="L6" s="910"/>
      <c r="M6" s="184"/>
      <c r="N6" s="915" t="s">
        <v>674</v>
      </c>
      <c r="O6" s="915"/>
      <c r="P6" s="915"/>
      <c r="Q6" s="915"/>
      <c r="R6" s="589">
        <v>0</v>
      </c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ht="45.6" customHeight="1" x14ac:dyDescent="0.25">
      <c r="A7" s="337" t="s">
        <v>340</v>
      </c>
      <c r="B7" s="899" t="s">
        <v>341</v>
      </c>
      <c r="C7" s="899"/>
      <c r="D7" s="899"/>
      <c r="E7" s="899"/>
      <c r="F7" s="241">
        <f>SUM(F8,F15,F16)</f>
        <v>2133077.5299999998</v>
      </c>
      <c r="G7" s="245">
        <v>1</v>
      </c>
      <c r="H7" s="241">
        <f>SUM(H8,H15,H16)</f>
        <v>2401148.7200000002</v>
      </c>
      <c r="I7" s="245">
        <v>1</v>
      </c>
      <c r="J7" s="903"/>
      <c r="K7" s="903"/>
      <c r="L7" s="911"/>
      <c r="M7" s="253"/>
      <c r="N7" s="915" t="s">
        <v>725</v>
      </c>
      <c r="O7" s="915"/>
      <c r="P7" s="915"/>
      <c r="Q7" s="915"/>
      <c r="R7" s="589">
        <v>0</v>
      </c>
    </row>
    <row r="8" spans="1:38" ht="55.35" customHeight="1" x14ac:dyDescent="0.25">
      <c r="A8" s="338" t="s">
        <v>238</v>
      </c>
      <c r="B8" s="881" t="s">
        <v>99</v>
      </c>
      <c r="C8" s="881"/>
      <c r="D8" s="881"/>
      <c r="E8" s="881"/>
      <c r="F8" s="242">
        <f>SUM(F9,F10,F11,F14)</f>
        <v>1445663.65</v>
      </c>
      <c r="G8" s="244">
        <f>F8/$F$7</f>
        <v>0.67773610179091803</v>
      </c>
      <c r="H8" s="242">
        <f>SUM(H9,H10,H11,H14)</f>
        <v>1474314.26</v>
      </c>
      <c r="I8" s="244">
        <f>H8/$H$7</f>
        <v>0.61400372568343031</v>
      </c>
      <c r="J8" s="903"/>
      <c r="K8" s="903"/>
      <c r="L8" s="911"/>
      <c r="M8" s="253"/>
      <c r="N8" s="915" t="s">
        <v>726</v>
      </c>
      <c r="O8" s="915"/>
      <c r="P8" s="915"/>
      <c r="Q8" s="915"/>
      <c r="R8" s="589">
        <v>0</v>
      </c>
    </row>
    <row r="9" spans="1:38" ht="36" customHeight="1" x14ac:dyDescent="0.25">
      <c r="A9" s="339" t="s">
        <v>239</v>
      </c>
      <c r="B9" s="900" t="s">
        <v>235</v>
      </c>
      <c r="C9" s="900"/>
      <c r="D9" s="900"/>
      <c r="E9" s="900"/>
      <c r="F9" s="92">
        <v>0</v>
      </c>
      <c r="G9" s="246" t="s">
        <v>360</v>
      </c>
      <c r="H9" s="92">
        <v>0</v>
      </c>
      <c r="I9" s="246" t="s">
        <v>360</v>
      </c>
      <c r="J9" s="903"/>
      <c r="K9" s="903"/>
      <c r="L9" s="911"/>
      <c r="M9" s="253"/>
      <c r="N9" s="919" t="s">
        <v>727</v>
      </c>
      <c r="O9" s="919"/>
      <c r="P9" s="919"/>
      <c r="Q9" s="919"/>
      <c r="R9" s="919"/>
    </row>
    <row r="10" spans="1:38" ht="23.1" customHeight="1" x14ac:dyDescent="0.25">
      <c r="A10" s="340" t="s">
        <v>240</v>
      </c>
      <c r="B10" s="900" t="s">
        <v>236</v>
      </c>
      <c r="C10" s="900"/>
      <c r="D10" s="900"/>
      <c r="E10" s="900"/>
      <c r="F10" s="92">
        <v>0</v>
      </c>
      <c r="G10" s="246" t="s">
        <v>360</v>
      </c>
      <c r="H10" s="92">
        <v>0</v>
      </c>
      <c r="I10" s="246" t="s">
        <v>360</v>
      </c>
      <c r="J10" s="903"/>
      <c r="K10" s="903"/>
      <c r="L10" s="911"/>
      <c r="M10" s="253"/>
    </row>
    <row r="11" spans="1:38" ht="23.1" customHeight="1" x14ac:dyDescent="0.25">
      <c r="A11" s="341" t="s">
        <v>241</v>
      </c>
      <c r="B11" s="877" t="s">
        <v>438</v>
      </c>
      <c r="C11" s="877"/>
      <c r="D11" s="877"/>
      <c r="E11" s="877"/>
      <c r="F11" s="272">
        <v>1445663.65</v>
      </c>
      <c r="G11" s="244">
        <f>F11/$F$7</f>
        <v>0.67773610179091803</v>
      </c>
      <c r="H11" s="272">
        <v>1474314.26</v>
      </c>
      <c r="I11" s="244">
        <f>H11/$H$7</f>
        <v>0.61400372568343031</v>
      </c>
      <c r="J11" s="533" t="b">
        <f>IFERROR(F11&gt;=(F12+F13),"помилка")</f>
        <v>1</v>
      </c>
      <c r="K11" s="533" t="b">
        <f>IFERROR(H11&gt;=(H12+H13),"помилка")</f>
        <v>1</v>
      </c>
      <c r="L11" s="911"/>
      <c r="M11" s="253"/>
    </row>
    <row r="12" spans="1:38" ht="24" customHeight="1" x14ac:dyDescent="0.25">
      <c r="A12" s="341" t="s">
        <v>242</v>
      </c>
      <c r="B12" s="913" t="s">
        <v>243</v>
      </c>
      <c r="C12" s="913"/>
      <c r="D12" s="913"/>
      <c r="E12" s="913"/>
      <c r="F12" s="243">
        <f>'Дод_Доходи ПМГ '!D9</f>
        <v>1445663.65</v>
      </c>
      <c r="G12" s="244">
        <f>F12/$F$7</f>
        <v>0.67773610179091803</v>
      </c>
      <c r="H12" s="243">
        <f>'Дод_Доходи ПМГ '!E9</f>
        <v>1474314.26</v>
      </c>
      <c r="I12" s="244">
        <f>H12/$H$7</f>
        <v>0.61400372568343031</v>
      </c>
      <c r="J12" s="904"/>
      <c r="K12" s="905"/>
      <c r="L12" s="911"/>
    </row>
    <row r="13" spans="1:38" ht="25.35" customHeight="1" x14ac:dyDescent="0.25">
      <c r="A13" s="341" t="s">
        <v>404</v>
      </c>
      <c r="B13" s="913" t="s">
        <v>405</v>
      </c>
      <c r="C13" s="913"/>
      <c r="D13" s="913"/>
      <c r="E13" s="913"/>
      <c r="F13" s="92">
        <v>0</v>
      </c>
      <c r="G13" s="244">
        <f>F13/$F$7</f>
        <v>0</v>
      </c>
      <c r="H13" s="92">
        <v>0</v>
      </c>
      <c r="I13" s="244">
        <f>H13/$H$7</f>
        <v>0</v>
      </c>
      <c r="J13" s="906"/>
      <c r="K13" s="907"/>
      <c r="L13" s="911"/>
    </row>
    <row r="14" spans="1:38" ht="25.35" customHeight="1" x14ac:dyDescent="0.25">
      <c r="A14" s="341" t="s">
        <v>245</v>
      </c>
      <c r="B14" s="877" t="s">
        <v>244</v>
      </c>
      <c r="C14" s="877"/>
      <c r="D14" s="877"/>
      <c r="E14" s="877"/>
      <c r="F14" s="92">
        <v>0</v>
      </c>
      <c r="G14" s="246" t="s">
        <v>360</v>
      </c>
      <c r="H14" s="92">
        <v>0</v>
      </c>
      <c r="I14" s="246" t="s">
        <v>360</v>
      </c>
      <c r="J14" s="906"/>
      <c r="K14" s="907"/>
      <c r="L14" s="912"/>
    </row>
    <row r="15" spans="1:38" ht="38.450000000000003" customHeight="1" x14ac:dyDescent="0.25">
      <c r="A15" s="338" t="s">
        <v>344</v>
      </c>
      <c r="B15" s="881" t="s">
        <v>556</v>
      </c>
      <c r="C15" s="881"/>
      <c r="D15" s="881"/>
      <c r="E15" s="881"/>
      <c r="F15" s="356">
        <v>687413.88</v>
      </c>
      <c r="G15" s="244">
        <f>F15/$F$7</f>
        <v>0.32226389820908202</v>
      </c>
      <c r="H15" s="356">
        <f>'Звіт 1,2,3'!O16+'Звіт 1,2,3'!P16+'Звіт 1,2,3'!S16+'Звіт 1,2,3'!M16</f>
        <v>767928.46000000008</v>
      </c>
      <c r="I15" s="244">
        <f>H15/$H$7</f>
        <v>0.31981711653412287</v>
      </c>
      <c r="J15" s="906"/>
      <c r="K15" s="907"/>
      <c r="L15" s="91">
        <v>0</v>
      </c>
    </row>
    <row r="16" spans="1:38" ht="39.6" customHeight="1" x14ac:dyDescent="0.25">
      <c r="A16" s="338" t="s">
        <v>345</v>
      </c>
      <c r="B16" s="881" t="s">
        <v>557</v>
      </c>
      <c r="C16" s="881"/>
      <c r="D16" s="881"/>
      <c r="E16" s="881"/>
      <c r="F16" s="356">
        <v>0</v>
      </c>
      <c r="G16" s="244">
        <f>F16/$F$7</f>
        <v>0</v>
      </c>
      <c r="H16" s="356">
        <v>158906</v>
      </c>
      <c r="I16" s="244">
        <f>H16/$H$7</f>
        <v>6.6179157782446721E-2</v>
      </c>
      <c r="J16" s="908"/>
      <c r="K16" s="909"/>
      <c r="L16" s="91">
        <v>158906</v>
      </c>
    </row>
    <row r="17" spans="1:38" ht="48" customHeight="1" thickBot="1" x14ac:dyDescent="0.3">
      <c r="A17" s="898" t="s">
        <v>320</v>
      </c>
      <c r="B17" s="898"/>
      <c r="C17" s="898"/>
      <c r="D17" s="587"/>
      <c r="E17" s="587"/>
      <c r="F17" s="587"/>
      <c r="G17" s="587"/>
      <c r="H17" s="587"/>
      <c r="I17" s="587"/>
      <c r="J17" s="587"/>
      <c r="K17" s="588"/>
      <c r="L17" s="91">
        <v>0</v>
      </c>
      <c r="M17" s="914" t="s">
        <v>678</v>
      </c>
      <c r="N17" s="914"/>
      <c r="O17" s="914"/>
      <c r="P17" s="914"/>
      <c r="Q17" s="914"/>
    </row>
    <row r="18" spans="1:38" ht="48" customHeight="1" x14ac:dyDescent="0.25">
      <c r="A18" s="56" t="s">
        <v>6</v>
      </c>
      <c r="B18" s="852" t="s">
        <v>200</v>
      </c>
      <c r="C18" s="852"/>
      <c r="D18" s="852"/>
      <c r="E18" s="852"/>
      <c r="F18" s="65" t="s">
        <v>91</v>
      </c>
      <c r="G18" s="95" t="s">
        <v>361</v>
      </c>
      <c r="H18" s="65" t="s">
        <v>8</v>
      </c>
      <c r="I18" s="96" t="s">
        <v>361</v>
      </c>
      <c r="J18" s="332"/>
      <c r="K18" s="188"/>
      <c r="L18" s="212"/>
      <c r="M18" s="212"/>
      <c r="N18" s="212"/>
      <c r="O18" s="213"/>
      <c r="P18" s="186"/>
      <c r="Q18" s="214"/>
    </row>
    <row r="19" spans="1:38" ht="19.350000000000001" customHeight="1" x14ac:dyDescent="0.25">
      <c r="A19" s="273">
        <v>1</v>
      </c>
      <c r="B19" s="897">
        <v>2</v>
      </c>
      <c r="C19" s="897"/>
      <c r="D19" s="897"/>
      <c r="E19" s="897"/>
      <c r="F19" s="70">
        <v>3</v>
      </c>
      <c r="G19" s="70">
        <v>4</v>
      </c>
      <c r="H19" s="70">
        <v>5</v>
      </c>
      <c r="I19" s="71">
        <v>6</v>
      </c>
      <c r="J19" s="188"/>
      <c r="K19" s="188"/>
      <c r="L19" s="212"/>
      <c r="M19" s="212"/>
      <c r="N19" s="212"/>
      <c r="O19" s="213"/>
      <c r="P19" s="186"/>
      <c r="Q19" s="214"/>
    </row>
    <row r="20" spans="1:38" ht="21.6" customHeight="1" x14ac:dyDescent="0.3">
      <c r="A20" s="39" t="s">
        <v>329</v>
      </c>
      <c r="B20" s="891" t="s">
        <v>257</v>
      </c>
      <c r="C20" s="891"/>
      <c r="D20" s="891"/>
      <c r="E20" s="891"/>
      <c r="F20" s="250">
        <f>F21+F22+F23</f>
        <v>1567208.25</v>
      </c>
      <c r="G20" s="244">
        <f>G21+G22+G23</f>
        <v>1</v>
      </c>
      <c r="H20" s="250">
        <f>H21+H22+H23</f>
        <v>1192157.29</v>
      </c>
      <c r="I20" s="248">
        <f>I21+I22+I23</f>
        <v>1</v>
      </c>
      <c r="J20" s="188"/>
      <c r="K20" s="188"/>
      <c r="L20" s="212"/>
      <c r="M20" s="212"/>
      <c r="N20" s="212"/>
      <c r="O20" s="213"/>
      <c r="P20" s="186"/>
      <c r="Q20" s="214"/>
    </row>
    <row r="21" spans="1:38" ht="21.6" customHeight="1" x14ac:dyDescent="0.3">
      <c r="A21" s="39" t="s">
        <v>330</v>
      </c>
      <c r="B21" s="880" t="s">
        <v>326</v>
      </c>
      <c r="C21" s="880"/>
      <c r="D21" s="880"/>
      <c r="E21" s="880"/>
      <c r="F21" s="93">
        <v>0</v>
      </c>
      <c r="G21" s="244">
        <f>F21/$F$20</f>
        <v>0</v>
      </c>
      <c r="H21" s="93">
        <v>0</v>
      </c>
      <c r="I21" s="248">
        <f>H21/$H$20</f>
        <v>0</v>
      </c>
      <c r="J21" s="188"/>
      <c r="K21" s="188"/>
      <c r="L21" s="212"/>
      <c r="M21" s="212"/>
      <c r="N21" s="212"/>
      <c r="O21" s="213"/>
      <c r="P21" s="186"/>
      <c r="Q21" s="214"/>
    </row>
    <row r="22" spans="1:38" ht="21.6" customHeight="1" x14ac:dyDescent="0.3">
      <c r="A22" s="39" t="s">
        <v>331</v>
      </c>
      <c r="B22" s="880" t="s">
        <v>327</v>
      </c>
      <c r="C22" s="880"/>
      <c r="D22" s="880"/>
      <c r="E22" s="880"/>
      <c r="F22" s="93">
        <v>0</v>
      </c>
      <c r="G22" s="244">
        <f>F22/$F$20</f>
        <v>0</v>
      </c>
      <c r="H22" s="93">
        <v>0</v>
      </c>
      <c r="I22" s="248">
        <f>H22/$H$20</f>
        <v>0</v>
      </c>
      <c r="J22" s="188"/>
      <c r="K22" s="188"/>
      <c r="L22" s="212"/>
      <c r="M22" s="212"/>
      <c r="N22" s="212"/>
      <c r="O22" s="213"/>
      <c r="P22" s="186"/>
      <c r="Q22" s="214"/>
    </row>
    <row r="23" spans="1:38" ht="21.6" customHeight="1" thickBot="1" x14ac:dyDescent="0.35">
      <c r="A23" s="40" t="s">
        <v>332</v>
      </c>
      <c r="B23" s="887" t="s">
        <v>328</v>
      </c>
      <c r="C23" s="887"/>
      <c r="D23" s="887"/>
      <c r="E23" s="887"/>
      <c r="F23" s="274">
        <f>G29</f>
        <v>1567208.25</v>
      </c>
      <c r="G23" s="247">
        <f>F23/$F$20</f>
        <v>1</v>
      </c>
      <c r="H23" s="274">
        <f>H29</f>
        <v>1192157.29</v>
      </c>
      <c r="I23" s="249">
        <f>H23/$H$20</f>
        <v>1</v>
      </c>
      <c r="J23" s="188"/>
      <c r="K23" s="188"/>
      <c r="L23" s="215"/>
      <c r="M23" s="215"/>
      <c r="N23" s="215"/>
      <c r="O23" s="180"/>
      <c r="P23" s="180"/>
      <c r="Q23" s="216"/>
    </row>
    <row r="24" spans="1:38" s="12" customFormat="1" ht="20.45" customHeight="1" thickBot="1" x14ac:dyDescent="0.35">
      <c r="A24" s="179" t="s">
        <v>367</v>
      </c>
      <c r="D24" s="64"/>
      <c r="E24" s="64"/>
      <c r="F24" s="64"/>
      <c r="G24" s="64"/>
      <c r="H24" s="64"/>
      <c r="I24" s="64"/>
      <c r="J24" s="217" t="s">
        <v>338</v>
      </c>
      <c r="K24" s="218"/>
      <c r="L24" s="219"/>
      <c r="M24" s="215"/>
      <c r="N24" s="215"/>
      <c r="O24" s="180"/>
      <c r="P24" s="180"/>
      <c r="Q24" s="216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</row>
    <row r="25" spans="1:38" s="12" customFormat="1" ht="73.349999999999994" customHeight="1" x14ac:dyDescent="0.25">
      <c r="A25" s="894" t="s">
        <v>325</v>
      </c>
      <c r="B25" s="852" t="s">
        <v>200</v>
      </c>
      <c r="C25" s="852"/>
      <c r="D25" s="896" t="s">
        <v>337</v>
      </c>
      <c r="E25" s="896"/>
      <c r="F25" s="896"/>
      <c r="G25" s="886" t="s">
        <v>357</v>
      </c>
      <c r="H25" s="886"/>
      <c r="I25" s="886"/>
      <c r="J25" s="886" t="s">
        <v>358</v>
      </c>
      <c r="K25" s="886"/>
      <c r="L25" s="886" t="s">
        <v>324</v>
      </c>
      <c r="M25" s="886"/>
      <c r="N25" s="886"/>
      <c r="O25" s="889" t="s">
        <v>689</v>
      </c>
      <c r="P25" s="889"/>
      <c r="Q25" s="89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</row>
    <row r="26" spans="1:38" s="12" customFormat="1" ht="48.6" customHeight="1" x14ac:dyDescent="0.25">
      <c r="A26" s="895"/>
      <c r="B26" s="853"/>
      <c r="C26" s="853"/>
      <c r="D26" s="66" t="s">
        <v>91</v>
      </c>
      <c r="E26" s="66" t="s">
        <v>8</v>
      </c>
      <c r="F26" s="353" t="s">
        <v>365</v>
      </c>
      <c r="G26" s="66" t="s">
        <v>91</v>
      </c>
      <c r="H26" s="66" t="s">
        <v>8</v>
      </c>
      <c r="I26" s="353" t="s">
        <v>365</v>
      </c>
      <c r="J26" s="66" t="s">
        <v>91</v>
      </c>
      <c r="K26" s="66" t="s">
        <v>8</v>
      </c>
      <c r="L26" s="66" t="s">
        <v>91</v>
      </c>
      <c r="M26" s="66" t="s">
        <v>8</v>
      </c>
      <c r="N26" s="353" t="s">
        <v>365</v>
      </c>
      <c r="O26" s="354" t="s">
        <v>91</v>
      </c>
      <c r="P26" s="354" t="s">
        <v>8</v>
      </c>
      <c r="Q26" s="139" t="s">
        <v>365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</row>
    <row r="27" spans="1:38" s="30" customFormat="1" ht="18.600000000000001" customHeight="1" x14ac:dyDescent="0.25">
      <c r="A27" s="177" t="s">
        <v>339</v>
      </c>
      <c r="B27" s="893">
        <v>2</v>
      </c>
      <c r="C27" s="893"/>
      <c r="D27" s="68">
        <v>3</v>
      </c>
      <c r="E27" s="68">
        <v>4</v>
      </c>
      <c r="F27" s="68">
        <v>5</v>
      </c>
      <c r="G27" s="68">
        <v>6</v>
      </c>
      <c r="H27" s="68">
        <v>7</v>
      </c>
      <c r="I27" s="68">
        <v>8</v>
      </c>
      <c r="J27" s="68">
        <v>9</v>
      </c>
      <c r="K27" s="68">
        <v>10</v>
      </c>
      <c r="L27" s="68">
        <v>11</v>
      </c>
      <c r="M27" s="68">
        <v>12</v>
      </c>
      <c r="N27" s="68">
        <v>13</v>
      </c>
      <c r="O27" s="68">
        <v>14</v>
      </c>
      <c r="P27" s="68">
        <v>15</v>
      </c>
      <c r="Q27" s="69">
        <v>16</v>
      </c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</row>
    <row r="28" spans="1:38" s="12" customFormat="1" ht="25.35" customHeight="1" x14ac:dyDescent="0.3">
      <c r="A28" s="167" t="s">
        <v>170</v>
      </c>
      <c r="B28" s="891" t="s">
        <v>342</v>
      </c>
      <c r="C28" s="891"/>
      <c r="D28" s="67">
        <f>D29+D82</f>
        <v>3048710.16</v>
      </c>
      <c r="E28" s="67">
        <f>E29+E82</f>
        <v>2323121.88</v>
      </c>
      <c r="F28" s="104" t="s">
        <v>360</v>
      </c>
      <c r="G28" s="104" t="s">
        <v>360</v>
      </c>
      <c r="H28" s="104" t="s">
        <v>360</v>
      </c>
      <c r="I28" s="104" t="s">
        <v>360</v>
      </c>
      <c r="J28" s="104" t="s">
        <v>360</v>
      </c>
      <c r="K28" s="104" t="s">
        <v>360</v>
      </c>
      <c r="L28" s="104" t="s">
        <v>360</v>
      </c>
      <c r="M28" s="104" t="s">
        <v>360</v>
      </c>
      <c r="N28" s="104" t="s">
        <v>360</v>
      </c>
      <c r="O28" s="104" t="s">
        <v>360</v>
      </c>
      <c r="P28" s="104" t="s">
        <v>360</v>
      </c>
      <c r="Q28" s="199" t="s">
        <v>360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</row>
    <row r="29" spans="1:38" s="12" customFormat="1" ht="25.35" customHeight="1" thickBot="1" x14ac:dyDescent="0.35">
      <c r="A29" s="231" t="s">
        <v>171</v>
      </c>
      <c r="B29" s="892" t="s">
        <v>343</v>
      </c>
      <c r="C29" s="892"/>
      <c r="D29" s="113">
        <f>SUM(G29,L29,O29)</f>
        <v>3048710.16</v>
      </c>
      <c r="E29" s="113">
        <f>SUM(H29,M29,P29)</f>
        <v>2323121.88</v>
      </c>
      <c r="F29" s="113">
        <f>SUM(I29,N29,Q29)</f>
        <v>0</v>
      </c>
      <c r="G29" s="113">
        <f>SUM(G30,G31,G33,G57,G32)</f>
        <v>1567208.25</v>
      </c>
      <c r="H29" s="113">
        <f t="shared" ref="H29:Q29" si="0">SUM(H30,H31,H33,H57,H32)</f>
        <v>1192157.29</v>
      </c>
      <c r="I29" s="113">
        <f t="shared" si="0"/>
        <v>0</v>
      </c>
      <c r="J29" s="113">
        <f>SUM(J30,J31,J33,J57,J32)</f>
        <v>0</v>
      </c>
      <c r="K29" s="113">
        <f t="shared" si="0"/>
        <v>0</v>
      </c>
      <c r="L29" s="113">
        <f t="shared" si="0"/>
        <v>355151.11000000004</v>
      </c>
      <c r="M29" s="113">
        <f t="shared" si="0"/>
        <v>417607.54</v>
      </c>
      <c r="N29" s="113">
        <f t="shared" si="0"/>
        <v>0</v>
      </c>
      <c r="O29" s="113">
        <f t="shared" si="0"/>
        <v>1126350.8</v>
      </c>
      <c r="P29" s="113">
        <f t="shared" si="0"/>
        <v>713357.05</v>
      </c>
      <c r="Q29" s="378">
        <f t="shared" si="0"/>
        <v>0</v>
      </c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</row>
    <row r="30" spans="1:38" s="12" customFormat="1" ht="25.35" customHeight="1" thickBot="1" x14ac:dyDescent="0.35">
      <c r="A30" s="238" t="s">
        <v>172</v>
      </c>
      <c r="B30" s="885" t="s">
        <v>162</v>
      </c>
      <c r="C30" s="885"/>
      <c r="D30" s="454">
        <f>SUM(G30,L30,O30)</f>
        <v>1746833.33</v>
      </c>
      <c r="E30" s="229">
        <f t="shared" ref="E30:E48" si="1">SUM(H30,M30,P30)</f>
        <v>1587248.36</v>
      </c>
      <c r="F30" s="229">
        <f t="shared" ref="F30:F77" si="2">SUM(I30,N30,Q30)</f>
        <v>0</v>
      </c>
      <c r="G30" s="93">
        <v>1252436.54</v>
      </c>
      <c r="H30" s="93">
        <f>1587248.36-M30-P30</f>
        <v>943955.56</v>
      </c>
      <c r="I30" s="455">
        <v>0</v>
      </c>
      <c r="J30" s="455">
        <v>0</v>
      </c>
      <c r="K30" s="455">
        <v>0</v>
      </c>
      <c r="L30" s="455">
        <v>240678.79</v>
      </c>
      <c r="M30" s="455">
        <v>313379.8</v>
      </c>
      <c r="N30" s="455">
        <v>0</v>
      </c>
      <c r="O30" s="455">
        <v>253718</v>
      </c>
      <c r="P30" s="455">
        <f>123000+62400+144513</f>
        <v>329913</v>
      </c>
      <c r="Q30" s="456">
        <v>0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</row>
    <row r="31" spans="1:38" s="12" customFormat="1" ht="25.35" customHeight="1" x14ac:dyDescent="0.3">
      <c r="A31" s="239" t="s">
        <v>178</v>
      </c>
      <c r="B31" s="881" t="s">
        <v>18</v>
      </c>
      <c r="C31" s="881"/>
      <c r="D31" s="67">
        <f>SUM(G31,L31,O31)</f>
        <v>371707.94</v>
      </c>
      <c r="E31" s="67">
        <f t="shared" si="1"/>
        <v>348454.49</v>
      </c>
      <c r="F31" s="67">
        <f t="shared" si="2"/>
        <v>0</v>
      </c>
      <c r="G31" s="93">
        <v>277178.52</v>
      </c>
      <c r="H31" s="455">
        <f>278671.56-P31</f>
        <v>206136.56</v>
      </c>
      <c r="I31" s="93">
        <v>0</v>
      </c>
      <c r="J31" s="93">
        <v>0</v>
      </c>
      <c r="K31" s="93">
        <v>0</v>
      </c>
      <c r="L31" s="93">
        <v>49796.42</v>
      </c>
      <c r="M31" s="93">
        <v>69782.929999999993</v>
      </c>
      <c r="N31" s="93">
        <v>0</v>
      </c>
      <c r="O31" s="93">
        <v>44733</v>
      </c>
      <c r="P31" s="93">
        <f>27000+17600+27935</f>
        <v>72535</v>
      </c>
      <c r="Q31" s="107">
        <v>0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</row>
    <row r="32" spans="1:38" s="12" customFormat="1" ht="25.35" customHeight="1" thickBot="1" x14ac:dyDescent="0.35">
      <c r="A32" s="240" t="s">
        <v>179</v>
      </c>
      <c r="B32" s="887" t="s">
        <v>37</v>
      </c>
      <c r="C32" s="887"/>
      <c r="D32" s="282">
        <f>SUM(G32,L32,O32)</f>
        <v>0</v>
      </c>
      <c r="E32" s="113">
        <f t="shared" si="1"/>
        <v>0</v>
      </c>
      <c r="F32" s="113">
        <f t="shared" si="2"/>
        <v>0</v>
      </c>
      <c r="G32" s="114">
        <v>0</v>
      </c>
      <c r="H32" s="114">
        <v>0</v>
      </c>
      <c r="I32" s="115" t="s">
        <v>360</v>
      </c>
      <c r="J32" s="115" t="s">
        <v>360</v>
      </c>
      <c r="K32" s="115" t="s">
        <v>360</v>
      </c>
      <c r="L32" s="114">
        <v>0</v>
      </c>
      <c r="M32" s="114">
        <v>0</v>
      </c>
      <c r="N32" s="115" t="s">
        <v>360</v>
      </c>
      <c r="O32" s="114">
        <v>0</v>
      </c>
      <c r="P32" s="114">
        <v>0</v>
      </c>
      <c r="Q32" s="203" t="s">
        <v>360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</row>
    <row r="33" spans="1:38" s="12" customFormat="1" ht="25.35" customHeight="1" x14ac:dyDescent="0.3">
      <c r="A33" s="257" t="s">
        <v>180</v>
      </c>
      <c r="B33" s="888" t="s">
        <v>19</v>
      </c>
      <c r="C33" s="888"/>
      <c r="D33" s="228">
        <f>SUM(G33,L33,O33)</f>
        <v>905361.2</v>
      </c>
      <c r="E33" s="228">
        <f t="shared" si="1"/>
        <v>346807.91</v>
      </c>
      <c r="F33" s="228">
        <f t="shared" si="2"/>
        <v>0</v>
      </c>
      <c r="G33" s="228">
        <f>SUM(G34,G40,G41,G42,G43,G44,G45,G46,G48,G47,G49,G56)</f>
        <v>37593.19</v>
      </c>
      <c r="H33" s="228">
        <f t="shared" ref="H33:Q33" si="3">SUM(H34,H40,H41,H42,H43,H44,H45,H46,H48,H47,H49,H56)</f>
        <v>37785.17</v>
      </c>
      <c r="I33" s="228">
        <f t="shared" si="3"/>
        <v>0</v>
      </c>
      <c r="J33" s="228">
        <f>SUM(J34,J40,J41,J42,J43,J44,J45,J46,J48,J47,J49,J56)</f>
        <v>0</v>
      </c>
      <c r="K33" s="228">
        <f t="shared" si="3"/>
        <v>0</v>
      </c>
      <c r="L33" s="228">
        <f t="shared" si="3"/>
        <v>60215.89</v>
      </c>
      <c r="M33" s="228">
        <f t="shared" si="3"/>
        <v>15990.93</v>
      </c>
      <c r="N33" s="228">
        <f t="shared" si="3"/>
        <v>0</v>
      </c>
      <c r="O33" s="228">
        <f t="shared" si="3"/>
        <v>807552.12</v>
      </c>
      <c r="P33" s="228">
        <f t="shared" si="3"/>
        <v>293031.81</v>
      </c>
      <c r="Q33" s="232">
        <f t="shared" si="3"/>
        <v>0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</row>
    <row r="34" spans="1:38" s="12" customFormat="1" ht="25.35" customHeight="1" x14ac:dyDescent="0.3">
      <c r="A34" s="167" t="s">
        <v>181</v>
      </c>
      <c r="B34" s="881" t="s">
        <v>186</v>
      </c>
      <c r="C34" s="881"/>
      <c r="D34" s="67">
        <f>SUM(D35:D39)</f>
        <v>95603.17</v>
      </c>
      <c r="E34" s="67">
        <f t="shared" si="1"/>
        <v>71659.62</v>
      </c>
      <c r="F34" s="67">
        <f t="shared" si="2"/>
        <v>0</v>
      </c>
      <c r="G34" s="67">
        <f>SUM(G35,G37,G38,G39,G36)</f>
        <v>0</v>
      </c>
      <c r="H34" s="67">
        <f>SUM(H35,H37,H38,H39,H36)</f>
        <v>0</v>
      </c>
      <c r="I34" s="67">
        <f>SUM(I35,I37,I38,I39,I36)</f>
        <v>0</v>
      </c>
      <c r="J34" s="67">
        <f>SUM(J35,J37,J38,J39,J36)</f>
        <v>0</v>
      </c>
      <c r="K34" s="67">
        <f>SUM(K35,K37,K38,K39,K36)</f>
        <v>0</v>
      </c>
      <c r="L34" s="109" t="s">
        <v>360</v>
      </c>
      <c r="M34" s="109" t="s">
        <v>360</v>
      </c>
      <c r="N34" s="109" t="s">
        <v>360</v>
      </c>
      <c r="O34" s="67">
        <f>SUM(O35,O37,O38,O39,O36)</f>
        <v>95603.17</v>
      </c>
      <c r="P34" s="67">
        <f>SUM(P35,P37,P38,P39,P36)</f>
        <v>71659.62</v>
      </c>
      <c r="Q34" s="67">
        <f>SUM(Q35,Q37,Q38,Q39,Q36)</f>
        <v>0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</row>
    <row r="35" spans="1:38" s="12" customFormat="1" ht="26.45" customHeight="1" x14ac:dyDescent="0.3">
      <c r="A35" s="167" t="s">
        <v>182</v>
      </c>
      <c r="B35" s="877" t="s">
        <v>20</v>
      </c>
      <c r="C35" s="877"/>
      <c r="D35" s="67">
        <f>SUM(G35,L35,O35)</f>
        <v>95603.17</v>
      </c>
      <c r="E35" s="67">
        <f t="shared" si="1"/>
        <v>71659.62</v>
      </c>
      <c r="F35" s="67">
        <f>SUM(I35,N35,Q35)</f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109" t="s">
        <v>360</v>
      </c>
      <c r="M35" s="109" t="s">
        <v>360</v>
      </c>
      <c r="N35" s="109" t="s">
        <v>360</v>
      </c>
      <c r="O35" s="93">
        <v>95603.17</v>
      </c>
      <c r="P35" s="93">
        <f>41847.38+29812.24</f>
        <v>71659.62</v>
      </c>
      <c r="Q35" s="93">
        <v>0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</row>
    <row r="36" spans="1:38" s="12" customFormat="1" ht="26.45" customHeight="1" x14ac:dyDescent="0.3">
      <c r="A36" s="167" t="s">
        <v>183</v>
      </c>
      <c r="B36" s="877" t="s">
        <v>446</v>
      </c>
      <c r="C36" s="877"/>
      <c r="D36" s="67">
        <f>SUM(G36,L36,O36)</f>
        <v>0</v>
      </c>
      <c r="E36" s="67">
        <f>SUM(H36,M36,P36)</f>
        <v>0</v>
      </c>
      <c r="F36" s="67">
        <f>SUM(I36,N36,Q36)</f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109"/>
      <c r="M36" s="109"/>
      <c r="N36" s="109"/>
      <c r="O36" s="93">
        <v>0</v>
      </c>
      <c r="P36" s="93">
        <v>0</v>
      </c>
      <c r="Q36" s="93">
        <v>0</v>
      </c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</row>
    <row r="37" spans="1:38" s="12" customFormat="1" ht="25.35" customHeight="1" x14ac:dyDescent="0.3">
      <c r="A37" s="167" t="s">
        <v>184</v>
      </c>
      <c r="B37" s="877" t="s">
        <v>431</v>
      </c>
      <c r="C37" s="877"/>
      <c r="D37" s="67">
        <f t="shared" ref="D37:D81" si="4">SUM(G37,L37,O37)</f>
        <v>0</v>
      </c>
      <c r="E37" s="67">
        <f t="shared" si="1"/>
        <v>0</v>
      </c>
      <c r="F37" s="67">
        <f t="shared" si="2"/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109" t="s">
        <v>360</v>
      </c>
      <c r="M37" s="109" t="s">
        <v>360</v>
      </c>
      <c r="N37" s="109" t="s">
        <v>360</v>
      </c>
      <c r="O37" s="93">
        <v>0</v>
      </c>
      <c r="P37" s="93">
        <v>0</v>
      </c>
      <c r="Q37" s="93">
        <v>0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</row>
    <row r="38" spans="1:38" s="12" customFormat="1" ht="28.35" customHeight="1" x14ac:dyDescent="0.3">
      <c r="A38" s="167" t="s">
        <v>185</v>
      </c>
      <c r="B38" s="877" t="s">
        <v>430</v>
      </c>
      <c r="C38" s="877"/>
      <c r="D38" s="67">
        <f t="shared" si="4"/>
        <v>0</v>
      </c>
      <c r="E38" s="67">
        <f t="shared" si="1"/>
        <v>0</v>
      </c>
      <c r="F38" s="67">
        <f t="shared" si="2"/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109" t="s">
        <v>360</v>
      </c>
      <c r="M38" s="109" t="s">
        <v>360</v>
      </c>
      <c r="N38" s="109" t="s">
        <v>360</v>
      </c>
      <c r="O38" s="93">
        <v>0</v>
      </c>
      <c r="P38" s="93">
        <v>0</v>
      </c>
      <c r="Q38" s="93">
        <v>0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</row>
    <row r="39" spans="1:38" s="12" customFormat="1" ht="78.599999999999994" customHeight="1" x14ac:dyDescent="0.3">
      <c r="A39" s="167" t="s">
        <v>445</v>
      </c>
      <c r="B39" s="877" t="s">
        <v>96</v>
      </c>
      <c r="C39" s="877"/>
      <c r="D39" s="67">
        <f t="shared" si="4"/>
        <v>0</v>
      </c>
      <c r="E39" s="67">
        <f t="shared" si="1"/>
        <v>0</v>
      </c>
      <c r="F39" s="67">
        <f t="shared" si="2"/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109" t="s">
        <v>360</v>
      </c>
      <c r="M39" s="109" t="s">
        <v>360</v>
      </c>
      <c r="N39" s="109" t="s">
        <v>360</v>
      </c>
      <c r="O39" s="93">
        <v>0</v>
      </c>
      <c r="P39" s="93">
        <v>0</v>
      </c>
      <c r="Q39" s="93">
        <v>0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</row>
    <row r="40" spans="1:38" s="12" customFormat="1" ht="25.35" customHeight="1" x14ac:dyDescent="0.3">
      <c r="A40" s="167" t="s">
        <v>187</v>
      </c>
      <c r="B40" s="859" t="s">
        <v>26</v>
      </c>
      <c r="C40" s="859"/>
      <c r="D40" s="67">
        <f t="shared" si="4"/>
        <v>0</v>
      </c>
      <c r="E40" s="67">
        <f t="shared" si="1"/>
        <v>230.4</v>
      </c>
      <c r="F40" s="67">
        <f t="shared" si="2"/>
        <v>0</v>
      </c>
      <c r="G40" s="93">
        <v>0</v>
      </c>
      <c r="H40" s="93">
        <f>168</f>
        <v>168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62.4</v>
      </c>
      <c r="Q40" s="93">
        <v>0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</row>
    <row r="41" spans="1:38" s="12" customFormat="1" ht="25.35" customHeight="1" x14ac:dyDescent="0.3">
      <c r="A41" s="167" t="s">
        <v>188</v>
      </c>
      <c r="B41" s="880" t="s">
        <v>21</v>
      </c>
      <c r="C41" s="880"/>
      <c r="D41" s="67">
        <f t="shared" si="4"/>
        <v>0</v>
      </c>
      <c r="E41" s="67">
        <f t="shared" si="1"/>
        <v>0</v>
      </c>
      <c r="F41" s="67">
        <f t="shared" si="2"/>
        <v>0</v>
      </c>
      <c r="G41" s="93">
        <v>0</v>
      </c>
      <c r="H41" s="93">
        <v>0</v>
      </c>
      <c r="I41" s="93">
        <v>0</v>
      </c>
      <c r="J41" s="108" t="s">
        <v>360</v>
      </c>
      <c r="K41" s="108" t="s">
        <v>360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</row>
    <row r="42" spans="1:38" s="12" customFormat="1" ht="25.35" customHeight="1" x14ac:dyDescent="0.3">
      <c r="A42" s="167" t="s">
        <v>189</v>
      </c>
      <c r="B42" s="880" t="s">
        <v>22</v>
      </c>
      <c r="C42" s="880"/>
      <c r="D42" s="67">
        <f t="shared" si="4"/>
        <v>0</v>
      </c>
      <c r="E42" s="67">
        <f t="shared" si="1"/>
        <v>0</v>
      </c>
      <c r="F42" s="67">
        <f t="shared" si="2"/>
        <v>0</v>
      </c>
      <c r="G42" s="93">
        <v>0</v>
      </c>
      <c r="H42" s="93">
        <v>0</v>
      </c>
      <c r="I42" s="93">
        <v>0</v>
      </c>
      <c r="J42" s="108" t="s">
        <v>360</v>
      </c>
      <c r="K42" s="108" t="s">
        <v>360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>
        <v>1</v>
      </c>
      <c r="AI42" s="180"/>
      <c r="AJ42" s="180"/>
      <c r="AK42" s="180"/>
      <c r="AL42" s="180"/>
    </row>
    <row r="43" spans="1:38" s="12" customFormat="1" ht="21.6" customHeight="1" x14ac:dyDescent="0.3">
      <c r="A43" s="167" t="s">
        <v>190</v>
      </c>
      <c r="B43" s="880" t="s">
        <v>23</v>
      </c>
      <c r="C43" s="880"/>
      <c r="D43" s="67">
        <f t="shared" si="4"/>
        <v>47022.100000000006</v>
      </c>
      <c r="E43" s="67">
        <f t="shared" si="1"/>
        <v>47636.109999999993</v>
      </c>
      <c r="F43" s="67">
        <f t="shared" si="2"/>
        <v>0</v>
      </c>
      <c r="G43" s="93">
        <v>37593.19</v>
      </c>
      <c r="H43" s="93">
        <v>37617.17</v>
      </c>
      <c r="I43" s="93">
        <v>0</v>
      </c>
      <c r="J43" s="106">
        <v>0</v>
      </c>
      <c r="K43" s="106">
        <v>0</v>
      </c>
      <c r="L43" s="93">
        <v>9428.91</v>
      </c>
      <c r="M43" s="93">
        <v>8635.34</v>
      </c>
      <c r="N43" s="93">
        <v>0</v>
      </c>
      <c r="O43" s="93">
        <v>0</v>
      </c>
      <c r="P43" s="93">
        <v>1383.6</v>
      </c>
      <c r="Q43" s="93">
        <v>0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</row>
    <row r="44" spans="1:38" s="12" customFormat="1" ht="36.6" customHeight="1" x14ac:dyDescent="0.3">
      <c r="A44" s="167" t="s">
        <v>191</v>
      </c>
      <c r="B44" s="884" t="s">
        <v>237</v>
      </c>
      <c r="C44" s="884"/>
      <c r="D44" s="67">
        <f t="shared" si="4"/>
        <v>762735.92999999993</v>
      </c>
      <c r="E44" s="67">
        <f t="shared" si="1"/>
        <v>227281.78</v>
      </c>
      <c r="F44" s="67">
        <f t="shared" si="2"/>
        <v>0</v>
      </c>
      <c r="G44" s="93">
        <v>0</v>
      </c>
      <c r="H44" s="93">
        <v>0</v>
      </c>
      <c r="I44" s="93">
        <v>0</v>
      </c>
      <c r="J44" s="106">
        <v>0</v>
      </c>
      <c r="K44" s="106">
        <v>0</v>
      </c>
      <c r="L44" s="93">
        <v>50786.98</v>
      </c>
      <c r="M44" s="93">
        <v>7355.59</v>
      </c>
      <c r="N44" s="93">
        <v>0</v>
      </c>
      <c r="O44" s="93">
        <v>711948.95</v>
      </c>
      <c r="P44" s="93">
        <f>219926.19</f>
        <v>219926.19</v>
      </c>
      <c r="Q44" s="93">
        <v>0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</row>
    <row r="45" spans="1:38" s="12" customFormat="1" ht="24" customHeight="1" x14ac:dyDescent="0.3">
      <c r="A45" s="167" t="s">
        <v>192</v>
      </c>
      <c r="B45" s="880" t="s">
        <v>24</v>
      </c>
      <c r="C45" s="880"/>
      <c r="D45" s="67">
        <f>SUM(G45,L45,O45)</f>
        <v>0</v>
      </c>
      <c r="E45" s="67">
        <f t="shared" si="1"/>
        <v>0</v>
      </c>
      <c r="F45" s="67">
        <f t="shared" si="2"/>
        <v>0</v>
      </c>
      <c r="G45" s="93">
        <v>0</v>
      </c>
      <c r="H45" s="93">
        <v>0</v>
      </c>
      <c r="I45" s="93">
        <v>0</v>
      </c>
      <c r="J45" s="108" t="s">
        <v>360</v>
      </c>
      <c r="K45" s="108" t="s">
        <v>360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</row>
    <row r="46" spans="1:38" s="12" customFormat="1" ht="24" customHeight="1" x14ac:dyDescent="0.3">
      <c r="A46" s="167" t="s">
        <v>193</v>
      </c>
      <c r="B46" s="859" t="s">
        <v>25</v>
      </c>
      <c r="C46" s="859"/>
      <c r="D46" s="67">
        <f>SUM(G46,L46,O46)</f>
        <v>0</v>
      </c>
      <c r="E46" s="67">
        <f t="shared" si="1"/>
        <v>0</v>
      </c>
      <c r="F46" s="67">
        <f t="shared" si="2"/>
        <v>0</v>
      </c>
      <c r="G46" s="93">
        <v>0</v>
      </c>
      <c r="H46" s="93">
        <v>0</v>
      </c>
      <c r="I46" s="93">
        <v>0</v>
      </c>
      <c r="J46" s="108" t="s">
        <v>360</v>
      </c>
      <c r="K46" s="108" t="s">
        <v>360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</row>
    <row r="47" spans="1:38" s="12" customFormat="1" ht="24" customHeight="1" x14ac:dyDescent="0.3">
      <c r="A47" s="167" t="s">
        <v>194</v>
      </c>
      <c r="B47" s="859" t="s">
        <v>44</v>
      </c>
      <c r="C47" s="859"/>
      <c r="D47" s="67">
        <f>SUM(G47,L47,O47)</f>
        <v>0</v>
      </c>
      <c r="E47" s="67">
        <f t="shared" si="1"/>
        <v>0</v>
      </c>
      <c r="F47" s="67">
        <f t="shared" si="2"/>
        <v>0</v>
      </c>
      <c r="G47" s="93">
        <v>0</v>
      </c>
      <c r="H47" s="93">
        <v>0</v>
      </c>
      <c r="I47" s="93">
        <v>0</v>
      </c>
      <c r="J47" s="108" t="s">
        <v>360</v>
      </c>
      <c r="K47" s="108" t="s">
        <v>360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</row>
    <row r="48" spans="1:38" s="12" customFormat="1" ht="24" customHeight="1" x14ac:dyDescent="0.3">
      <c r="A48" s="167" t="s">
        <v>195</v>
      </c>
      <c r="B48" s="859" t="s">
        <v>397</v>
      </c>
      <c r="C48" s="859"/>
      <c r="D48" s="67">
        <f>SUM(G48,L48,O48)</f>
        <v>0</v>
      </c>
      <c r="E48" s="67">
        <f t="shared" si="1"/>
        <v>0</v>
      </c>
      <c r="F48" s="67">
        <f t="shared" si="2"/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</row>
    <row r="49" spans="1:38" s="12" customFormat="1" ht="24" customHeight="1" x14ac:dyDescent="0.3">
      <c r="A49" s="167" t="s">
        <v>196</v>
      </c>
      <c r="B49" s="860" t="s">
        <v>166</v>
      </c>
      <c r="C49" s="860"/>
      <c r="D49" s="67">
        <f t="shared" si="4"/>
        <v>0</v>
      </c>
      <c r="E49" s="67">
        <f t="shared" ref="E49:E81" si="5">SUM(H49,M49,P49)</f>
        <v>0</v>
      </c>
      <c r="F49" s="67">
        <f t="shared" si="2"/>
        <v>0</v>
      </c>
      <c r="G49" s="67">
        <f>SUM(G50,G51,G52,G53,G54,G55)</f>
        <v>0</v>
      </c>
      <c r="H49" s="67">
        <f>SUM(H50,H51,H52,H53,H54,H55)</f>
        <v>0</v>
      </c>
      <c r="I49" s="67">
        <f>SUM(I50,I51,I52,I53,I54,I55)</f>
        <v>0</v>
      </c>
      <c r="J49" s="108" t="s">
        <v>360</v>
      </c>
      <c r="K49" s="108" t="s">
        <v>360</v>
      </c>
      <c r="L49" s="67">
        <f t="shared" ref="L49:Q49" si="6">SUM(L50,L51,L52,L53,L54,L55)</f>
        <v>0</v>
      </c>
      <c r="M49" s="67">
        <f t="shared" si="6"/>
        <v>0</v>
      </c>
      <c r="N49" s="67">
        <f t="shared" si="6"/>
        <v>0</v>
      </c>
      <c r="O49" s="67">
        <f t="shared" si="6"/>
        <v>0</v>
      </c>
      <c r="P49" s="67">
        <f t="shared" si="6"/>
        <v>0</v>
      </c>
      <c r="Q49" s="105">
        <f t="shared" si="6"/>
        <v>0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</row>
    <row r="50" spans="1:38" s="12" customFormat="1" ht="24" customHeight="1" x14ac:dyDescent="0.3">
      <c r="A50" s="167" t="s">
        <v>398</v>
      </c>
      <c r="B50" s="877" t="s">
        <v>27</v>
      </c>
      <c r="C50" s="877"/>
      <c r="D50" s="67">
        <f t="shared" si="4"/>
        <v>0</v>
      </c>
      <c r="E50" s="67">
        <f t="shared" si="5"/>
        <v>0</v>
      </c>
      <c r="F50" s="67">
        <f t="shared" si="2"/>
        <v>0</v>
      </c>
      <c r="G50" s="93">
        <v>0</v>
      </c>
      <c r="H50" s="93">
        <v>0</v>
      </c>
      <c r="I50" s="93">
        <v>0</v>
      </c>
      <c r="J50" s="108" t="s">
        <v>360</v>
      </c>
      <c r="K50" s="108" t="s">
        <v>360</v>
      </c>
      <c r="L50" s="110" t="s">
        <v>360</v>
      </c>
      <c r="M50" s="110" t="s">
        <v>360</v>
      </c>
      <c r="N50" s="110" t="s">
        <v>360</v>
      </c>
      <c r="O50" s="93">
        <v>0</v>
      </c>
      <c r="P50" s="93">
        <v>0</v>
      </c>
      <c r="Q50" s="107">
        <v>0</v>
      </c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</row>
    <row r="51" spans="1:38" s="12" customFormat="1" ht="24" customHeight="1" x14ac:dyDescent="0.3">
      <c r="A51" s="167" t="s">
        <v>399</v>
      </c>
      <c r="B51" s="877" t="s">
        <v>28</v>
      </c>
      <c r="C51" s="877"/>
      <c r="D51" s="67">
        <f t="shared" si="4"/>
        <v>0</v>
      </c>
      <c r="E51" s="67">
        <f t="shared" si="5"/>
        <v>0</v>
      </c>
      <c r="F51" s="67">
        <f t="shared" si="2"/>
        <v>0</v>
      </c>
      <c r="G51" s="93">
        <v>0</v>
      </c>
      <c r="H51" s="93">
        <v>0</v>
      </c>
      <c r="I51" s="93">
        <v>0</v>
      </c>
      <c r="J51" s="108" t="s">
        <v>360</v>
      </c>
      <c r="K51" s="108" t="s">
        <v>360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107">
        <v>0</v>
      </c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</row>
    <row r="52" spans="1:38" s="12" customFormat="1" ht="24" customHeight="1" x14ac:dyDescent="0.3">
      <c r="A52" s="167" t="s">
        <v>400</v>
      </c>
      <c r="B52" s="877" t="s">
        <v>160</v>
      </c>
      <c r="C52" s="877"/>
      <c r="D52" s="67">
        <f>SUM(G52,L52,O52)</f>
        <v>0</v>
      </c>
      <c r="E52" s="67">
        <f t="shared" si="5"/>
        <v>0</v>
      </c>
      <c r="F52" s="67">
        <f t="shared" si="2"/>
        <v>0</v>
      </c>
      <c r="G52" s="93">
        <v>0</v>
      </c>
      <c r="H52" s="93">
        <v>0</v>
      </c>
      <c r="I52" s="93">
        <v>0</v>
      </c>
      <c r="J52" s="108" t="s">
        <v>360</v>
      </c>
      <c r="K52" s="108" t="s">
        <v>360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107">
        <v>0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</row>
    <row r="53" spans="1:38" s="12" customFormat="1" ht="24" customHeight="1" x14ac:dyDescent="0.3">
      <c r="A53" s="167" t="s">
        <v>401</v>
      </c>
      <c r="B53" s="877" t="s">
        <v>165</v>
      </c>
      <c r="C53" s="877"/>
      <c r="D53" s="67">
        <f t="shared" si="4"/>
        <v>0</v>
      </c>
      <c r="E53" s="67">
        <f t="shared" si="5"/>
        <v>0</v>
      </c>
      <c r="F53" s="67">
        <f t="shared" si="2"/>
        <v>0</v>
      </c>
      <c r="G53" s="93">
        <v>0</v>
      </c>
      <c r="H53" s="93">
        <v>0</v>
      </c>
      <c r="I53" s="93">
        <v>0</v>
      </c>
      <c r="J53" s="108" t="s">
        <v>360</v>
      </c>
      <c r="K53" s="108" t="s">
        <v>360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107">
        <v>0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</row>
    <row r="54" spans="1:38" s="12" customFormat="1" ht="24" customHeight="1" x14ac:dyDescent="0.3">
      <c r="A54" s="167" t="s">
        <v>402</v>
      </c>
      <c r="B54" s="877" t="s">
        <v>201</v>
      </c>
      <c r="C54" s="877"/>
      <c r="D54" s="67">
        <f t="shared" si="4"/>
        <v>0</v>
      </c>
      <c r="E54" s="67">
        <f t="shared" si="5"/>
        <v>0</v>
      </c>
      <c r="F54" s="67">
        <f t="shared" si="2"/>
        <v>0</v>
      </c>
      <c r="G54" s="93">
        <v>0</v>
      </c>
      <c r="H54" s="93">
        <v>0</v>
      </c>
      <c r="I54" s="93">
        <v>0</v>
      </c>
      <c r="J54" s="108" t="s">
        <v>360</v>
      </c>
      <c r="K54" s="108" t="s">
        <v>360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107">
        <v>0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</row>
    <row r="55" spans="1:38" s="12" customFormat="1" ht="24" customHeight="1" x14ac:dyDescent="0.3">
      <c r="A55" s="167" t="s">
        <v>403</v>
      </c>
      <c r="B55" s="877" t="s">
        <v>159</v>
      </c>
      <c r="C55" s="877"/>
      <c r="D55" s="67">
        <f t="shared" si="4"/>
        <v>0</v>
      </c>
      <c r="E55" s="67">
        <f t="shared" si="5"/>
        <v>0</v>
      </c>
      <c r="F55" s="67">
        <f t="shared" si="2"/>
        <v>0</v>
      </c>
      <c r="G55" s="93">
        <v>0</v>
      </c>
      <c r="H55" s="93">
        <v>0</v>
      </c>
      <c r="I55" s="93">
        <v>0</v>
      </c>
      <c r="J55" s="108" t="s">
        <v>360</v>
      </c>
      <c r="K55" s="108" t="s">
        <v>360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107">
        <v>0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</row>
    <row r="56" spans="1:38" s="12" customFormat="1" ht="24" customHeight="1" thickBot="1" x14ac:dyDescent="0.35">
      <c r="A56" s="226" t="s">
        <v>197</v>
      </c>
      <c r="B56" s="883" t="s">
        <v>46</v>
      </c>
      <c r="C56" s="883"/>
      <c r="D56" s="227">
        <f t="shared" si="4"/>
        <v>0</v>
      </c>
      <c r="E56" s="227">
        <f t="shared" si="5"/>
        <v>0</v>
      </c>
      <c r="F56" s="227">
        <f t="shared" si="2"/>
        <v>0</v>
      </c>
      <c r="G56" s="357">
        <v>0</v>
      </c>
      <c r="H56" s="357">
        <v>0</v>
      </c>
      <c r="I56" s="357">
        <v>0</v>
      </c>
      <c r="J56" s="362">
        <v>0</v>
      </c>
      <c r="K56" s="362">
        <v>0</v>
      </c>
      <c r="L56" s="357">
        <v>0</v>
      </c>
      <c r="M56" s="357">
        <v>0</v>
      </c>
      <c r="N56" s="357">
        <v>0</v>
      </c>
      <c r="O56" s="357">
        <v>0</v>
      </c>
      <c r="P56" s="357">
        <v>0</v>
      </c>
      <c r="Q56" s="363">
        <v>0</v>
      </c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</row>
    <row r="57" spans="1:38" s="12" customFormat="1" ht="24" customHeight="1" x14ac:dyDescent="0.3">
      <c r="A57" s="238" t="s">
        <v>198</v>
      </c>
      <c r="B57" s="882" t="s">
        <v>29</v>
      </c>
      <c r="C57" s="882"/>
      <c r="D57" s="229">
        <f t="shared" si="4"/>
        <v>24807.690000000002</v>
      </c>
      <c r="E57" s="229">
        <f t="shared" si="5"/>
        <v>40611.119999999995</v>
      </c>
      <c r="F57" s="229">
        <f t="shared" si="2"/>
        <v>0</v>
      </c>
      <c r="G57" s="229">
        <f t="shared" ref="G57:Q57" si="7">SUM(G58,G59,G60,G61,G62,G68,G69,G70,G71,G72,G73,G74,G75,G76,G77)</f>
        <v>0</v>
      </c>
      <c r="H57" s="229">
        <f t="shared" si="7"/>
        <v>4280</v>
      </c>
      <c r="I57" s="229">
        <f t="shared" si="7"/>
        <v>0</v>
      </c>
      <c r="J57" s="229">
        <f t="shared" si="7"/>
        <v>0</v>
      </c>
      <c r="K57" s="229">
        <f t="shared" si="7"/>
        <v>0</v>
      </c>
      <c r="L57" s="229">
        <f t="shared" si="7"/>
        <v>4460.01</v>
      </c>
      <c r="M57" s="229">
        <f t="shared" si="7"/>
        <v>18453.88</v>
      </c>
      <c r="N57" s="229">
        <f t="shared" si="7"/>
        <v>0</v>
      </c>
      <c r="O57" s="229">
        <f t="shared" si="7"/>
        <v>20347.68</v>
      </c>
      <c r="P57" s="229">
        <f t="shared" si="7"/>
        <v>17877.239999999998</v>
      </c>
      <c r="Q57" s="230">
        <f t="shared" si="7"/>
        <v>0</v>
      </c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</row>
    <row r="58" spans="1:38" s="12" customFormat="1" ht="24" customHeight="1" x14ac:dyDescent="0.3">
      <c r="A58" s="167" t="s">
        <v>373</v>
      </c>
      <c r="B58" s="880" t="s">
        <v>30</v>
      </c>
      <c r="C58" s="880"/>
      <c r="D58" s="67">
        <f t="shared" si="4"/>
        <v>0</v>
      </c>
      <c r="E58" s="67">
        <f t="shared" si="5"/>
        <v>0</v>
      </c>
      <c r="F58" s="67">
        <f t="shared" si="2"/>
        <v>0</v>
      </c>
      <c r="G58" s="93">
        <v>0</v>
      </c>
      <c r="H58" s="93">
        <v>0</v>
      </c>
      <c r="I58" s="93">
        <v>0</v>
      </c>
      <c r="J58" s="108" t="s">
        <v>360</v>
      </c>
      <c r="K58" s="108" t="s">
        <v>360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107">
        <v>0</v>
      </c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</row>
    <row r="59" spans="1:38" s="12" customFormat="1" ht="41.1" customHeight="1" x14ac:dyDescent="0.3">
      <c r="A59" s="167" t="s">
        <v>374</v>
      </c>
      <c r="B59" s="880" t="s">
        <v>31</v>
      </c>
      <c r="C59" s="880"/>
      <c r="D59" s="67">
        <f t="shared" si="4"/>
        <v>0</v>
      </c>
      <c r="E59" s="67">
        <f t="shared" si="5"/>
        <v>0</v>
      </c>
      <c r="F59" s="67">
        <f t="shared" si="2"/>
        <v>0</v>
      </c>
      <c r="G59" s="93">
        <v>0</v>
      </c>
      <c r="H59" s="93">
        <v>0</v>
      </c>
      <c r="I59" s="93">
        <v>0</v>
      </c>
      <c r="J59" s="108" t="s">
        <v>360</v>
      </c>
      <c r="K59" s="108" t="s">
        <v>360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107">
        <v>0</v>
      </c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</row>
    <row r="60" spans="1:38" s="12" customFormat="1" ht="19.5" customHeight="1" x14ac:dyDescent="0.3">
      <c r="A60" s="167" t="s">
        <v>375</v>
      </c>
      <c r="B60" s="880" t="s">
        <v>316</v>
      </c>
      <c r="C60" s="880"/>
      <c r="D60" s="67">
        <f t="shared" si="4"/>
        <v>964.2</v>
      </c>
      <c r="E60" s="67">
        <f t="shared" si="5"/>
        <v>9100</v>
      </c>
      <c r="F60" s="67">
        <f t="shared" si="2"/>
        <v>0</v>
      </c>
      <c r="G60" s="93">
        <v>0</v>
      </c>
      <c r="H60" s="93">
        <v>0</v>
      </c>
      <c r="I60" s="93">
        <v>0</v>
      </c>
      <c r="J60" s="108" t="s">
        <v>360</v>
      </c>
      <c r="K60" s="108" t="s">
        <v>360</v>
      </c>
      <c r="L60" s="93">
        <v>964.2</v>
      </c>
      <c r="M60" s="93">
        <f>8400+700</f>
        <v>9100</v>
      </c>
      <c r="N60" s="93">
        <v>0</v>
      </c>
      <c r="O60" s="93">
        <v>0</v>
      </c>
      <c r="P60" s="93">
        <v>0</v>
      </c>
      <c r="Q60" s="107">
        <v>0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</row>
    <row r="61" spans="1:38" s="12" customFormat="1" ht="24" customHeight="1" x14ac:dyDescent="0.3">
      <c r="A61" s="167" t="s">
        <v>376</v>
      </c>
      <c r="B61" s="880" t="s">
        <v>32</v>
      </c>
      <c r="C61" s="880"/>
      <c r="D61" s="67">
        <f t="shared" si="4"/>
        <v>0</v>
      </c>
      <c r="E61" s="67">
        <f t="shared" si="5"/>
        <v>4280</v>
      </c>
      <c r="F61" s="67">
        <f t="shared" si="2"/>
        <v>0</v>
      </c>
      <c r="G61" s="93">
        <v>0</v>
      </c>
      <c r="H61" s="93">
        <v>4280</v>
      </c>
      <c r="I61" s="268" t="s">
        <v>360</v>
      </c>
      <c r="J61" s="106">
        <v>0</v>
      </c>
      <c r="K61" s="93">
        <v>0</v>
      </c>
      <c r="L61" s="93">
        <v>0</v>
      </c>
      <c r="M61" s="93">
        <v>0</v>
      </c>
      <c r="N61" s="142" t="s">
        <v>360</v>
      </c>
      <c r="O61" s="93">
        <v>0</v>
      </c>
      <c r="P61" s="93">
        <v>0</v>
      </c>
      <c r="Q61" s="201" t="s">
        <v>360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</row>
    <row r="62" spans="1:38" s="12" customFormat="1" ht="23.45" customHeight="1" x14ac:dyDescent="0.3">
      <c r="A62" s="167" t="s">
        <v>377</v>
      </c>
      <c r="B62" s="881" t="s">
        <v>168</v>
      </c>
      <c r="C62" s="881"/>
      <c r="D62" s="67">
        <f t="shared" si="4"/>
        <v>0</v>
      </c>
      <c r="E62" s="67">
        <f t="shared" si="5"/>
        <v>4821.2</v>
      </c>
      <c r="F62" s="67">
        <f t="shared" si="2"/>
        <v>0</v>
      </c>
      <c r="G62" s="143">
        <f>SUM(G63,G64,G65,G66,G67)</f>
        <v>0</v>
      </c>
      <c r="H62" s="143">
        <f t="shared" ref="H62:Q62" si="8">SUM(H63,H64,H65,H66,H67)</f>
        <v>0</v>
      </c>
      <c r="I62" s="143">
        <f>SUM(I63,I64,I65,I66,I67)</f>
        <v>0</v>
      </c>
      <c r="J62" s="143">
        <f>SUM(J63,J64,J65,J66,J67)</f>
        <v>0</v>
      </c>
      <c r="K62" s="143">
        <f>SUM(K63,K64,K65,K66,K67)</f>
        <v>0</v>
      </c>
      <c r="L62" s="143">
        <f t="shared" si="8"/>
        <v>0</v>
      </c>
      <c r="M62" s="143">
        <f t="shared" si="8"/>
        <v>4821.2</v>
      </c>
      <c r="N62" s="143">
        <f t="shared" si="8"/>
        <v>0</v>
      </c>
      <c r="O62" s="143">
        <f>SUM(O63,O64,O65,O66,O67)</f>
        <v>0</v>
      </c>
      <c r="P62" s="143">
        <f t="shared" si="8"/>
        <v>0</v>
      </c>
      <c r="Q62" s="202">
        <f t="shared" si="8"/>
        <v>0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</row>
    <row r="63" spans="1:38" s="12" customFormat="1" ht="23.1" customHeight="1" x14ac:dyDescent="0.3">
      <c r="A63" s="167" t="s">
        <v>378</v>
      </c>
      <c r="B63" s="877" t="s">
        <v>161</v>
      </c>
      <c r="C63" s="877"/>
      <c r="D63" s="67">
        <f t="shared" si="4"/>
        <v>0</v>
      </c>
      <c r="E63" s="67">
        <f t="shared" si="5"/>
        <v>0</v>
      </c>
      <c r="F63" s="67">
        <f t="shared" si="2"/>
        <v>0</v>
      </c>
      <c r="G63" s="93">
        <v>0</v>
      </c>
      <c r="H63" s="93">
        <v>0</v>
      </c>
      <c r="I63" s="93">
        <v>0</v>
      </c>
      <c r="J63" s="108" t="s">
        <v>360</v>
      </c>
      <c r="K63" s="108" t="s">
        <v>360</v>
      </c>
      <c r="L63" s="108" t="s">
        <v>360</v>
      </c>
      <c r="M63" s="108" t="s">
        <v>360</v>
      </c>
      <c r="N63" s="108" t="s">
        <v>360</v>
      </c>
      <c r="O63" s="93">
        <v>0</v>
      </c>
      <c r="P63" s="93">
        <v>0</v>
      </c>
      <c r="Q63" s="107">
        <v>0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</row>
    <row r="64" spans="1:38" s="12" customFormat="1" ht="23.1" customHeight="1" x14ac:dyDescent="0.3">
      <c r="A64" s="167" t="s">
        <v>379</v>
      </c>
      <c r="B64" s="877" t="s">
        <v>164</v>
      </c>
      <c r="C64" s="877"/>
      <c r="D64" s="67">
        <f t="shared" si="4"/>
        <v>0</v>
      </c>
      <c r="E64" s="67">
        <f t="shared" si="5"/>
        <v>0</v>
      </c>
      <c r="F64" s="67">
        <f t="shared" si="2"/>
        <v>0</v>
      </c>
      <c r="G64" s="93">
        <v>0</v>
      </c>
      <c r="H64" s="93">
        <v>0</v>
      </c>
      <c r="I64" s="93">
        <v>0</v>
      </c>
      <c r="J64" s="108" t="s">
        <v>360</v>
      </c>
      <c r="K64" s="108" t="s">
        <v>360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107">
        <v>0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</row>
    <row r="65" spans="1:38" s="12" customFormat="1" ht="23.1" customHeight="1" x14ac:dyDescent="0.3">
      <c r="A65" s="167" t="s">
        <v>380</v>
      </c>
      <c r="B65" s="878" t="s">
        <v>252</v>
      </c>
      <c r="C65" s="879"/>
      <c r="D65" s="67">
        <f t="shared" si="4"/>
        <v>0</v>
      </c>
      <c r="E65" s="67">
        <f t="shared" si="5"/>
        <v>4821.2</v>
      </c>
      <c r="F65" s="67">
        <f t="shared" si="2"/>
        <v>0</v>
      </c>
      <c r="G65" s="93">
        <v>0</v>
      </c>
      <c r="H65" s="93">
        <v>0</v>
      </c>
      <c r="I65" s="93">
        <v>0</v>
      </c>
      <c r="J65" s="108" t="s">
        <v>360</v>
      </c>
      <c r="K65" s="108" t="s">
        <v>360</v>
      </c>
      <c r="L65" s="93">
        <v>0</v>
      </c>
      <c r="M65" s="93">
        <v>4821.2</v>
      </c>
      <c r="N65" s="93">
        <v>0</v>
      </c>
      <c r="O65" s="93">
        <v>0</v>
      </c>
      <c r="P65" s="93">
        <v>0</v>
      </c>
      <c r="Q65" s="107">
        <v>0</v>
      </c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</row>
    <row r="66" spans="1:38" s="12" customFormat="1" ht="23.1" customHeight="1" x14ac:dyDescent="0.3">
      <c r="A66" s="167" t="s">
        <v>381</v>
      </c>
      <c r="B66" s="874" t="s">
        <v>255</v>
      </c>
      <c r="C66" s="875"/>
      <c r="D66" s="67">
        <f t="shared" si="4"/>
        <v>0</v>
      </c>
      <c r="E66" s="67">
        <f t="shared" si="5"/>
        <v>0</v>
      </c>
      <c r="F66" s="67">
        <f t="shared" si="2"/>
        <v>0</v>
      </c>
      <c r="G66" s="93">
        <v>0</v>
      </c>
      <c r="H66" s="93">
        <v>0</v>
      </c>
      <c r="I66" s="93">
        <v>0</v>
      </c>
      <c r="J66" s="108" t="s">
        <v>360</v>
      </c>
      <c r="K66" s="108" t="s">
        <v>360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107">
        <v>0</v>
      </c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</row>
    <row r="67" spans="1:38" s="12" customFormat="1" ht="23.1" customHeight="1" x14ac:dyDescent="0.3">
      <c r="A67" s="167" t="s">
        <v>382</v>
      </c>
      <c r="B67" s="876" t="s">
        <v>163</v>
      </c>
      <c r="C67" s="876"/>
      <c r="D67" s="67">
        <f t="shared" si="4"/>
        <v>0</v>
      </c>
      <c r="E67" s="67">
        <f t="shared" si="5"/>
        <v>0</v>
      </c>
      <c r="F67" s="67">
        <f t="shared" si="2"/>
        <v>0</v>
      </c>
      <c r="G67" s="93">
        <v>0</v>
      </c>
      <c r="H67" s="93">
        <v>0</v>
      </c>
      <c r="I67" s="93">
        <v>0</v>
      </c>
      <c r="J67" s="108" t="s">
        <v>360</v>
      </c>
      <c r="K67" s="108" t="s">
        <v>360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107">
        <v>0</v>
      </c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</row>
    <row r="68" spans="1:38" s="12" customFormat="1" ht="23.1" customHeight="1" x14ac:dyDescent="0.3">
      <c r="A68" s="167" t="s">
        <v>383</v>
      </c>
      <c r="B68" s="873" t="s">
        <v>33</v>
      </c>
      <c r="C68" s="873"/>
      <c r="D68" s="67">
        <f t="shared" si="4"/>
        <v>12007.68</v>
      </c>
      <c r="E68" s="67">
        <f t="shared" si="5"/>
        <v>8526.5499999999993</v>
      </c>
      <c r="F68" s="67">
        <f t="shared" si="2"/>
        <v>0</v>
      </c>
      <c r="G68" s="93">
        <v>0</v>
      </c>
      <c r="H68" s="93">
        <v>0</v>
      </c>
      <c r="I68" s="93">
        <v>0</v>
      </c>
      <c r="J68" s="108" t="s">
        <v>360</v>
      </c>
      <c r="K68" s="108" t="s">
        <v>360</v>
      </c>
      <c r="L68" s="93">
        <v>0</v>
      </c>
      <c r="M68" s="93">
        <v>0</v>
      </c>
      <c r="N68" s="93">
        <v>0</v>
      </c>
      <c r="O68" s="93">
        <v>12007.68</v>
      </c>
      <c r="P68" s="93">
        <v>8526.5499999999993</v>
      </c>
      <c r="Q68" s="107">
        <v>0</v>
      </c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</row>
    <row r="69" spans="1:38" s="12" customFormat="1" ht="23.1" customHeight="1" x14ac:dyDescent="0.3">
      <c r="A69" s="167" t="s">
        <v>384</v>
      </c>
      <c r="B69" s="873" t="s">
        <v>158</v>
      </c>
      <c r="C69" s="873"/>
      <c r="D69" s="67">
        <f t="shared" si="4"/>
        <v>0</v>
      </c>
      <c r="E69" s="67">
        <f t="shared" si="5"/>
        <v>0</v>
      </c>
      <c r="F69" s="67">
        <f t="shared" si="2"/>
        <v>0</v>
      </c>
      <c r="G69" s="93">
        <v>0</v>
      </c>
      <c r="H69" s="93">
        <v>0</v>
      </c>
      <c r="I69" s="93">
        <v>0</v>
      </c>
      <c r="J69" s="108" t="s">
        <v>360</v>
      </c>
      <c r="K69" s="108" t="s">
        <v>360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107">
        <v>0</v>
      </c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</row>
    <row r="70" spans="1:38" s="12" customFormat="1" ht="23.1" customHeight="1" x14ac:dyDescent="0.3">
      <c r="A70" s="167" t="s">
        <v>385</v>
      </c>
      <c r="B70" s="872" t="s">
        <v>57</v>
      </c>
      <c r="C70" s="872"/>
      <c r="D70" s="67">
        <f t="shared" si="4"/>
        <v>1552.71</v>
      </c>
      <c r="E70" s="67">
        <f t="shared" si="5"/>
        <v>1690.11</v>
      </c>
      <c r="F70" s="67">
        <f t="shared" si="2"/>
        <v>0</v>
      </c>
      <c r="G70" s="93">
        <v>0</v>
      </c>
      <c r="H70" s="93">
        <v>0</v>
      </c>
      <c r="I70" s="93">
        <v>0</v>
      </c>
      <c r="J70" s="108" t="s">
        <v>360</v>
      </c>
      <c r="K70" s="108" t="s">
        <v>360</v>
      </c>
      <c r="L70" s="93">
        <v>1552.71</v>
      </c>
      <c r="M70" s="93">
        <v>1690.11</v>
      </c>
      <c r="N70" s="93">
        <v>0</v>
      </c>
      <c r="O70" s="93">
        <v>0</v>
      </c>
      <c r="P70" s="93">
        <v>0</v>
      </c>
      <c r="Q70" s="107">
        <v>0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</row>
    <row r="71" spans="1:38" s="12" customFormat="1" ht="23.1" customHeight="1" x14ac:dyDescent="0.3">
      <c r="A71" s="167" t="s">
        <v>386</v>
      </c>
      <c r="B71" s="872" t="s">
        <v>45</v>
      </c>
      <c r="C71" s="872"/>
      <c r="D71" s="67">
        <f t="shared" si="4"/>
        <v>0</v>
      </c>
      <c r="E71" s="67">
        <f t="shared" si="5"/>
        <v>0</v>
      </c>
      <c r="F71" s="67">
        <f t="shared" si="2"/>
        <v>0</v>
      </c>
      <c r="G71" s="93">
        <v>0</v>
      </c>
      <c r="H71" s="93">
        <v>0</v>
      </c>
      <c r="I71" s="93">
        <v>0</v>
      </c>
      <c r="J71" s="108" t="s">
        <v>360</v>
      </c>
      <c r="K71" s="108" t="s">
        <v>360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107">
        <v>0</v>
      </c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</row>
    <row r="72" spans="1:38" s="12" customFormat="1" ht="23.1" customHeight="1" x14ac:dyDescent="0.3">
      <c r="A72" s="167" t="s">
        <v>387</v>
      </c>
      <c r="B72" s="872" t="s">
        <v>157</v>
      </c>
      <c r="C72" s="872"/>
      <c r="D72" s="67">
        <f t="shared" si="4"/>
        <v>0</v>
      </c>
      <c r="E72" s="67">
        <f t="shared" si="5"/>
        <v>0</v>
      </c>
      <c r="F72" s="67">
        <f t="shared" si="2"/>
        <v>0</v>
      </c>
      <c r="G72" s="93">
        <v>0</v>
      </c>
      <c r="H72" s="93">
        <v>0</v>
      </c>
      <c r="I72" s="93">
        <v>0</v>
      </c>
      <c r="J72" s="108" t="s">
        <v>360</v>
      </c>
      <c r="K72" s="108" t="s">
        <v>360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107">
        <v>0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</row>
    <row r="73" spans="1:38" s="12" customFormat="1" ht="23.1" customHeight="1" x14ac:dyDescent="0.3">
      <c r="A73" s="167" t="s">
        <v>388</v>
      </c>
      <c r="B73" s="872" t="s">
        <v>167</v>
      </c>
      <c r="C73" s="872"/>
      <c r="D73" s="67">
        <f t="shared" si="4"/>
        <v>0</v>
      </c>
      <c r="E73" s="67">
        <f t="shared" si="5"/>
        <v>0</v>
      </c>
      <c r="F73" s="67">
        <f t="shared" si="2"/>
        <v>0</v>
      </c>
      <c r="G73" s="93">
        <v>0</v>
      </c>
      <c r="H73" s="93">
        <v>0</v>
      </c>
      <c r="I73" s="93">
        <v>0</v>
      </c>
      <c r="J73" s="108" t="s">
        <v>360</v>
      </c>
      <c r="K73" s="108" t="s">
        <v>360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107">
        <v>0</v>
      </c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</row>
    <row r="74" spans="1:38" s="12" customFormat="1" ht="23.1" customHeight="1" x14ac:dyDescent="0.3">
      <c r="A74" s="167" t="s">
        <v>389</v>
      </c>
      <c r="B74" s="873" t="s">
        <v>34</v>
      </c>
      <c r="C74" s="873"/>
      <c r="D74" s="67">
        <f t="shared" si="4"/>
        <v>1694.1</v>
      </c>
      <c r="E74" s="67">
        <f t="shared" si="5"/>
        <v>2436.59</v>
      </c>
      <c r="F74" s="67">
        <f t="shared" si="2"/>
        <v>0</v>
      </c>
      <c r="G74" s="93">
        <v>0</v>
      </c>
      <c r="H74" s="93">
        <v>0</v>
      </c>
      <c r="I74" s="93">
        <v>0</v>
      </c>
      <c r="J74" s="112">
        <v>0</v>
      </c>
      <c r="K74" s="112">
        <v>0</v>
      </c>
      <c r="L74" s="93">
        <v>1694.1</v>
      </c>
      <c r="M74" s="93">
        <v>2436.59</v>
      </c>
      <c r="N74" s="93">
        <v>0</v>
      </c>
      <c r="O74" s="93">
        <v>0</v>
      </c>
      <c r="P74" s="93">
        <v>0</v>
      </c>
      <c r="Q74" s="107">
        <v>0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</row>
    <row r="75" spans="1:38" s="12" customFormat="1" ht="23.1" customHeight="1" x14ac:dyDescent="0.3">
      <c r="A75" s="167" t="s">
        <v>390</v>
      </c>
      <c r="B75" s="870" t="s">
        <v>47</v>
      </c>
      <c r="C75" s="870"/>
      <c r="D75" s="67">
        <f t="shared" si="4"/>
        <v>0</v>
      </c>
      <c r="E75" s="67">
        <f t="shared" si="5"/>
        <v>92.48</v>
      </c>
      <c r="F75" s="67">
        <f t="shared" si="2"/>
        <v>0</v>
      </c>
      <c r="G75" s="108" t="s">
        <v>360</v>
      </c>
      <c r="H75" s="108" t="s">
        <v>360</v>
      </c>
      <c r="I75" s="108" t="s">
        <v>360</v>
      </c>
      <c r="J75" s="108" t="s">
        <v>360</v>
      </c>
      <c r="K75" s="108" t="s">
        <v>360</v>
      </c>
      <c r="L75" s="93">
        <v>0</v>
      </c>
      <c r="M75" s="93">
        <v>92.48</v>
      </c>
      <c r="N75" s="93">
        <v>0</v>
      </c>
      <c r="O75" s="93">
        <v>0</v>
      </c>
      <c r="P75" s="93">
        <v>0</v>
      </c>
      <c r="Q75" s="107">
        <v>0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</row>
    <row r="76" spans="1:38" s="12" customFormat="1" ht="23.1" customHeight="1" x14ac:dyDescent="0.3">
      <c r="A76" s="167" t="s">
        <v>391</v>
      </c>
      <c r="B76" s="870" t="s">
        <v>48</v>
      </c>
      <c r="C76" s="870"/>
      <c r="D76" s="67">
        <f>SUM(G76,L76,O76)</f>
        <v>249</v>
      </c>
      <c r="E76" s="67">
        <f t="shared" si="5"/>
        <v>313.5</v>
      </c>
      <c r="F76" s="67">
        <f t="shared" si="2"/>
        <v>0</v>
      </c>
      <c r="G76" s="108" t="s">
        <v>360</v>
      </c>
      <c r="H76" s="108" t="s">
        <v>360</v>
      </c>
      <c r="I76" s="108" t="s">
        <v>360</v>
      </c>
      <c r="J76" s="108" t="s">
        <v>360</v>
      </c>
      <c r="K76" s="108" t="s">
        <v>360</v>
      </c>
      <c r="L76" s="93">
        <v>249</v>
      </c>
      <c r="M76" s="93">
        <v>313.5</v>
      </c>
      <c r="N76" s="93">
        <v>0</v>
      </c>
      <c r="O76" s="93">
        <v>0</v>
      </c>
      <c r="P76" s="93">
        <v>0</v>
      </c>
      <c r="Q76" s="107">
        <v>0</v>
      </c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</row>
    <row r="77" spans="1:38" s="41" customFormat="1" ht="23.1" customHeight="1" thickBot="1" x14ac:dyDescent="0.35">
      <c r="A77" s="231" t="s">
        <v>392</v>
      </c>
      <c r="B77" s="871" t="s">
        <v>49</v>
      </c>
      <c r="C77" s="871"/>
      <c r="D77" s="113">
        <f>SUM(G77,L77,O77)</f>
        <v>8340</v>
      </c>
      <c r="E77" s="113">
        <f t="shared" si="5"/>
        <v>9350.69</v>
      </c>
      <c r="F77" s="113">
        <f t="shared" si="2"/>
        <v>0</v>
      </c>
      <c r="G77" s="233">
        <v>0</v>
      </c>
      <c r="H77" s="233">
        <v>0</v>
      </c>
      <c r="I77" s="233">
        <v>0</v>
      </c>
      <c r="J77" s="114">
        <v>0</v>
      </c>
      <c r="K77" s="233">
        <v>0</v>
      </c>
      <c r="L77" s="114">
        <v>0</v>
      </c>
      <c r="M77" s="114">
        <v>0</v>
      </c>
      <c r="N77" s="114">
        <v>0</v>
      </c>
      <c r="O77" s="114">
        <v>8340</v>
      </c>
      <c r="P77" s="114">
        <v>9350.69</v>
      </c>
      <c r="Q77" s="116">
        <v>0</v>
      </c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</row>
    <row r="78" spans="1:38" s="12" customFormat="1" ht="23.1" customHeight="1" x14ac:dyDescent="0.3">
      <c r="A78" s="358" t="s">
        <v>393</v>
      </c>
      <c r="B78" s="869" t="s">
        <v>38</v>
      </c>
      <c r="C78" s="869"/>
      <c r="D78" s="359">
        <f t="shared" si="4"/>
        <v>139069</v>
      </c>
      <c r="E78" s="228">
        <f t="shared" si="5"/>
        <v>158906</v>
      </c>
      <c r="F78" s="360" t="s">
        <v>360</v>
      </c>
      <c r="G78" s="228">
        <f>SUM(G79:G81)</f>
        <v>108750</v>
      </c>
      <c r="H78" s="228">
        <f t="shared" ref="H78:P78" si="9">SUM(H79:H81)</f>
        <v>118552</v>
      </c>
      <c r="I78" s="360" t="s">
        <v>360</v>
      </c>
      <c r="J78" s="228">
        <f t="shared" si="9"/>
        <v>0</v>
      </c>
      <c r="K78" s="228">
        <f t="shared" si="9"/>
        <v>0</v>
      </c>
      <c r="L78" s="228">
        <f t="shared" si="9"/>
        <v>30319</v>
      </c>
      <c r="M78" s="228">
        <f t="shared" si="9"/>
        <v>40354</v>
      </c>
      <c r="N78" s="360" t="s">
        <v>360</v>
      </c>
      <c r="O78" s="228">
        <f t="shared" si="9"/>
        <v>0</v>
      </c>
      <c r="P78" s="228">
        <f t="shared" si="9"/>
        <v>0</v>
      </c>
      <c r="Q78" s="361" t="s">
        <v>360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</row>
    <row r="79" spans="1:38" s="12" customFormat="1" ht="23.1" customHeight="1" x14ac:dyDescent="0.3">
      <c r="A79" s="140" t="s">
        <v>394</v>
      </c>
      <c r="B79" s="859" t="s">
        <v>214</v>
      </c>
      <c r="C79" s="859"/>
      <c r="D79" s="67">
        <f t="shared" si="4"/>
        <v>139069</v>
      </c>
      <c r="E79" s="67">
        <f t="shared" si="5"/>
        <v>158906</v>
      </c>
      <c r="F79" s="108" t="s">
        <v>360</v>
      </c>
      <c r="G79" s="93">
        <v>108750</v>
      </c>
      <c r="H79" s="93">
        <v>118552</v>
      </c>
      <c r="I79" s="108" t="s">
        <v>360</v>
      </c>
      <c r="J79" s="112">
        <v>0</v>
      </c>
      <c r="K79" s="112">
        <v>0</v>
      </c>
      <c r="L79" s="112">
        <v>30319</v>
      </c>
      <c r="M79" s="112">
        <v>40354</v>
      </c>
      <c r="N79" s="108" t="s">
        <v>360</v>
      </c>
      <c r="O79" s="93">
        <v>0</v>
      </c>
      <c r="P79" s="93">
        <v>0</v>
      </c>
      <c r="Q79" s="200" t="s">
        <v>360</v>
      </c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</row>
    <row r="80" spans="1:38" s="12" customFormat="1" ht="37.35" customHeight="1" x14ac:dyDescent="0.3">
      <c r="A80" s="140" t="s">
        <v>395</v>
      </c>
      <c r="B80" s="859" t="s">
        <v>215</v>
      </c>
      <c r="C80" s="859"/>
      <c r="D80" s="67">
        <f t="shared" si="4"/>
        <v>0</v>
      </c>
      <c r="E80" s="67">
        <f t="shared" si="5"/>
        <v>0</v>
      </c>
      <c r="F80" s="108" t="s">
        <v>360</v>
      </c>
      <c r="G80" s="93">
        <v>0</v>
      </c>
      <c r="H80" s="93">
        <v>0</v>
      </c>
      <c r="I80" s="108" t="s">
        <v>360</v>
      </c>
      <c r="J80" s="112">
        <v>0</v>
      </c>
      <c r="K80" s="112">
        <v>0</v>
      </c>
      <c r="L80" s="112">
        <v>0</v>
      </c>
      <c r="M80" s="112">
        <v>0</v>
      </c>
      <c r="N80" s="108" t="s">
        <v>360</v>
      </c>
      <c r="O80" s="93">
        <v>0</v>
      </c>
      <c r="P80" s="93">
        <v>0</v>
      </c>
      <c r="Q80" s="200" t="s">
        <v>360</v>
      </c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</row>
    <row r="81" spans="1:38" s="12" customFormat="1" ht="23.1" customHeight="1" thickBot="1" x14ac:dyDescent="0.35">
      <c r="A81" s="141" t="s">
        <v>396</v>
      </c>
      <c r="B81" s="865" t="s">
        <v>216</v>
      </c>
      <c r="C81" s="865"/>
      <c r="D81" s="282">
        <f t="shared" si="4"/>
        <v>0</v>
      </c>
      <c r="E81" s="113">
        <f t="shared" si="5"/>
        <v>0</v>
      </c>
      <c r="F81" s="115" t="s">
        <v>360</v>
      </c>
      <c r="G81" s="114">
        <v>0</v>
      </c>
      <c r="H81" s="114">
        <v>0</v>
      </c>
      <c r="I81" s="115" t="s">
        <v>360</v>
      </c>
      <c r="J81" s="115" t="s">
        <v>360</v>
      </c>
      <c r="K81" s="115" t="s">
        <v>360</v>
      </c>
      <c r="L81" s="233">
        <v>0</v>
      </c>
      <c r="M81" s="233">
        <v>0</v>
      </c>
      <c r="N81" s="115" t="s">
        <v>360</v>
      </c>
      <c r="O81" s="114">
        <v>0</v>
      </c>
      <c r="P81" s="114">
        <v>0</v>
      </c>
      <c r="Q81" s="203" t="s">
        <v>360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</row>
    <row r="82" spans="1:38" s="12" customFormat="1" ht="23.1" customHeight="1" thickBot="1" x14ac:dyDescent="0.35">
      <c r="A82" s="234" t="s">
        <v>199</v>
      </c>
      <c r="B82" s="866" t="s">
        <v>58</v>
      </c>
      <c r="C82" s="866"/>
      <c r="D82" s="235">
        <v>0</v>
      </c>
      <c r="E82" s="235">
        <v>0</v>
      </c>
      <c r="F82" s="236" t="s">
        <v>360</v>
      </c>
      <c r="G82" s="236" t="s">
        <v>360</v>
      </c>
      <c r="H82" s="236" t="s">
        <v>360</v>
      </c>
      <c r="I82" s="236" t="s">
        <v>360</v>
      </c>
      <c r="J82" s="236" t="s">
        <v>360</v>
      </c>
      <c r="K82" s="236" t="s">
        <v>360</v>
      </c>
      <c r="L82" s="236" t="s">
        <v>360</v>
      </c>
      <c r="M82" s="236" t="s">
        <v>360</v>
      </c>
      <c r="N82" s="236" t="s">
        <v>360</v>
      </c>
      <c r="O82" s="236" t="s">
        <v>360</v>
      </c>
      <c r="P82" s="236" t="s">
        <v>360</v>
      </c>
      <c r="Q82" s="237" t="s">
        <v>360</v>
      </c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</row>
    <row r="83" spans="1:38" ht="24.6" customHeight="1" thickBot="1" x14ac:dyDescent="0.3">
      <c r="A83" s="867" t="s">
        <v>406</v>
      </c>
      <c r="B83" s="867"/>
      <c r="C83" s="867"/>
      <c r="D83" s="867"/>
      <c r="E83" s="31"/>
      <c r="F83" s="31"/>
      <c r="G83" s="31"/>
      <c r="H83" s="31"/>
      <c r="K83" s="188"/>
      <c r="L83" s="188"/>
      <c r="M83" s="253"/>
      <c r="N83" s="253"/>
      <c r="O83" s="186"/>
      <c r="P83" s="183"/>
      <c r="Q83" s="184"/>
    </row>
    <row r="84" spans="1:38" ht="43.35" customHeight="1" x14ac:dyDescent="0.25">
      <c r="A84" s="176" t="str">
        <f>A5</f>
        <v>№ з/п</v>
      </c>
      <c r="B84" s="868" t="s">
        <v>336</v>
      </c>
      <c r="C84" s="868"/>
      <c r="D84" s="868"/>
      <c r="E84" s="120" t="s">
        <v>91</v>
      </c>
      <c r="F84" s="95" t="s">
        <v>361</v>
      </c>
      <c r="G84" s="120" t="s">
        <v>8</v>
      </c>
      <c r="H84" s="95" t="s">
        <v>361</v>
      </c>
      <c r="I84" s="120" t="s">
        <v>365</v>
      </c>
      <c r="J84" s="95" t="s">
        <v>361</v>
      </c>
      <c r="K84" s="188"/>
      <c r="L84" s="188"/>
      <c r="M84" s="285"/>
      <c r="N84" s="283"/>
      <c r="O84" s="186"/>
      <c r="P84" s="183"/>
      <c r="Q84" s="184"/>
    </row>
    <row r="85" spans="1:38" ht="23.45" customHeight="1" x14ac:dyDescent="0.3">
      <c r="A85" s="35" t="s">
        <v>407</v>
      </c>
      <c r="B85" s="860" t="s">
        <v>247</v>
      </c>
      <c r="C85" s="860"/>
      <c r="D85" s="860"/>
      <c r="E85" s="220">
        <f>E86+E87+E88+E90+E94+E95+E89</f>
        <v>3187779.16</v>
      </c>
      <c r="F85" s="97">
        <f t="shared" ref="F85:F90" si="10">E85/$E$85</f>
        <v>1</v>
      </c>
      <c r="G85" s="222">
        <f>G86+G87+G88+G90+G94+G95+G89</f>
        <v>2482027.88</v>
      </c>
      <c r="H85" s="97">
        <f t="shared" ref="H85:H90" si="11">G85/$G$85</f>
        <v>1</v>
      </c>
      <c r="I85" s="222">
        <f>I86+I87+I88+I94</f>
        <v>0</v>
      </c>
      <c r="J85" s="97" t="e">
        <f>I85/$I$85</f>
        <v>#DIV/0!</v>
      </c>
      <c r="K85" s="188"/>
      <c r="L85" s="188"/>
      <c r="M85" s="285"/>
      <c r="N85" s="253"/>
      <c r="O85" s="186"/>
      <c r="P85" s="183"/>
      <c r="Q85" s="184"/>
    </row>
    <row r="86" spans="1:38" ht="23.45" customHeight="1" x14ac:dyDescent="0.3">
      <c r="A86" s="35" t="s">
        <v>408</v>
      </c>
      <c r="B86" s="860" t="s">
        <v>210</v>
      </c>
      <c r="C86" s="860"/>
      <c r="D86" s="860"/>
      <c r="E86" s="220">
        <f>D33</f>
        <v>905361.2</v>
      </c>
      <c r="F86" s="97">
        <f t="shared" si="10"/>
        <v>0.2840100127889662</v>
      </c>
      <c r="G86" s="222">
        <f>E33</f>
        <v>346807.91</v>
      </c>
      <c r="H86" s="97">
        <f t="shared" si="11"/>
        <v>0.13972764479986421</v>
      </c>
      <c r="I86" s="222">
        <f>F33</f>
        <v>0</v>
      </c>
      <c r="J86" s="97" t="e">
        <f>I86/$I$85</f>
        <v>#DIV/0!</v>
      </c>
      <c r="K86" s="188"/>
      <c r="L86" s="188"/>
      <c r="M86" s="285"/>
      <c r="N86" s="283"/>
      <c r="O86" s="186"/>
      <c r="P86" s="183"/>
      <c r="Q86" s="184"/>
    </row>
    <row r="87" spans="1:38" ht="23.45" customHeight="1" x14ac:dyDescent="0.3">
      <c r="A87" s="35" t="s">
        <v>409</v>
      </c>
      <c r="B87" s="860" t="s">
        <v>211</v>
      </c>
      <c r="C87" s="860"/>
      <c r="D87" s="860"/>
      <c r="E87" s="220">
        <f>D30</f>
        <v>1746833.33</v>
      </c>
      <c r="F87" s="97">
        <f t="shared" si="10"/>
        <v>0.54797815103352387</v>
      </c>
      <c r="G87" s="222">
        <f>E30</f>
        <v>1587248.36</v>
      </c>
      <c r="H87" s="97">
        <f t="shared" si="11"/>
        <v>0.63949658776596829</v>
      </c>
      <c r="I87" s="222">
        <f>F30</f>
        <v>0</v>
      </c>
      <c r="J87" s="97" t="e">
        <f>I87/$I$85</f>
        <v>#DIV/0!</v>
      </c>
      <c r="K87" s="188"/>
      <c r="L87" s="188"/>
      <c r="M87" s="285"/>
      <c r="N87" s="253"/>
      <c r="O87" s="186"/>
      <c r="P87" s="183"/>
      <c r="Q87" s="184"/>
    </row>
    <row r="88" spans="1:38" ht="23.45" customHeight="1" x14ac:dyDescent="0.3">
      <c r="A88" s="35" t="s">
        <v>410</v>
      </c>
      <c r="B88" s="860" t="s">
        <v>212</v>
      </c>
      <c r="C88" s="860"/>
      <c r="D88" s="860"/>
      <c r="E88" s="220">
        <f>D31</f>
        <v>371707.94</v>
      </c>
      <c r="F88" s="97">
        <f t="shared" si="10"/>
        <v>0.11660404354986749</v>
      </c>
      <c r="G88" s="222">
        <f>E31</f>
        <v>348454.49</v>
      </c>
      <c r="H88" s="97">
        <f t="shared" si="11"/>
        <v>0.14039104588946036</v>
      </c>
      <c r="I88" s="222">
        <f>F31</f>
        <v>0</v>
      </c>
      <c r="J88" s="97" t="e">
        <f>I88/$I$85</f>
        <v>#DIV/0!</v>
      </c>
      <c r="K88" s="188"/>
      <c r="L88" s="188"/>
      <c r="M88" s="253"/>
      <c r="N88" s="253"/>
      <c r="O88" s="186"/>
      <c r="P88" s="183"/>
      <c r="Q88" s="184"/>
    </row>
    <row r="89" spans="1:38" ht="23.45" customHeight="1" x14ac:dyDescent="0.3">
      <c r="A89" s="35" t="s">
        <v>411</v>
      </c>
      <c r="B89" s="862" t="str">
        <f>B32</f>
        <v>Соціальне забезпечення</v>
      </c>
      <c r="C89" s="863"/>
      <c r="D89" s="864"/>
      <c r="E89" s="220">
        <f>D32</f>
        <v>0</v>
      </c>
      <c r="F89" s="97">
        <f t="shared" si="10"/>
        <v>0</v>
      </c>
      <c r="G89" s="222">
        <f>E32</f>
        <v>0</v>
      </c>
      <c r="H89" s="97">
        <f t="shared" si="11"/>
        <v>0</v>
      </c>
      <c r="I89" s="224" t="s">
        <v>360</v>
      </c>
      <c r="J89" s="144" t="s">
        <v>360</v>
      </c>
      <c r="K89" s="188"/>
      <c r="L89" s="188"/>
      <c r="M89" s="253"/>
      <c r="N89" s="253"/>
      <c r="O89" s="186"/>
      <c r="P89" s="183"/>
      <c r="Q89" s="184"/>
    </row>
    <row r="90" spans="1:38" ht="23.45" customHeight="1" x14ac:dyDescent="0.3">
      <c r="A90" s="35" t="s">
        <v>412</v>
      </c>
      <c r="B90" s="860" t="s">
        <v>213</v>
      </c>
      <c r="C90" s="860"/>
      <c r="D90" s="860"/>
      <c r="E90" s="220">
        <f>D78</f>
        <v>139069</v>
      </c>
      <c r="F90" s="97">
        <f t="shared" si="10"/>
        <v>4.3625669477053736E-2</v>
      </c>
      <c r="G90" s="222">
        <f>E78</f>
        <v>158906</v>
      </c>
      <c r="H90" s="97">
        <f t="shared" si="11"/>
        <v>6.4022649092886103E-2</v>
      </c>
      <c r="I90" s="224" t="str">
        <f>F78</f>
        <v>-</v>
      </c>
      <c r="J90" s="144" t="s">
        <v>360</v>
      </c>
      <c r="K90" s="188"/>
      <c r="L90" s="188"/>
      <c r="M90" s="253"/>
      <c r="N90" s="253"/>
      <c r="O90" s="186"/>
      <c r="P90" s="183"/>
      <c r="Q90" s="184"/>
    </row>
    <row r="91" spans="1:38" ht="23.45" customHeight="1" x14ac:dyDescent="0.3">
      <c r="A91" s="35" t="s">
        <v>434</v>
      </c>
      <c r="B91" s="859" t="s">
        <v>214</v>
      </c>
      <c r="C91" s="859"/>
      <c r="D91" s="859"/>
      <c r="E91" s="220">
        <f>D79</f>
        <v>139069</v>
      </c>
      <c r="F91" s="97"/>
      <c r="G91" s="222">
        <f>E79</f>
        <v>158906</v>
      </c>
      <c r="H91" s="97"/>
      <c r="I91" s="224" t="str">
        <f>F79</f>
        <v>-</v>
      </c>
      <c r="J91" s="144" t="s">
        <v>360</v>
      </c>
      <c r="K91" s="188"/>
      <c r="L91" s="188"/>
      <c r="M91" s="253"/>
      <c r="N91" s="253"/>
      <c r="O91" s="186"/>
      <c r="P91" s="183"/>
      <c r="Q91" s="184"/>
    </row>
    <row r="92" spans="1:38" ht="23.45" customHeight="1" x14ac:dyDescent="0.3">
      <c r="A92" s="35" t="s">
        <v>435</v>
      </c>
      <c r="B92" s="859" t="s">
        <v>215</v>
      </c>
      <c r="C92" s="859"/>
      <c r="D92" s="859"/>
      <c r="E92" s="220">
        <f>D80</f>
        <v>0</v>
      </c>
      <c r="F92" s="97"/>
      <c r="G92" s="222">
        <f>E80</f>
        <v>0</v>
      </c>
      <c r="H92" s="97"/>
      <c r="I92" s="224" t="str">
        <f>F80</f>
        <v>-</v>
      </c>
      <c r="J92" s="144" t="s">
        <v>360</v>
      </c>
      <c r="K92" s="188"/>
      <c r="L92" s="188"/>
      <c r="M92" s="253"/>
      <c r="N92" s="253"/>
      <c r="O92" s="186"/>
      <c r="P92" s="183"/>
      <c r="Q92" s="184"/>
    </row>
    <row r="93" spans="1:38" ht="23.45" customHeight="1" x14ac:dyDescent="0.3">
      <c r="A93" s="35" t="s">
        <v>436</v>
      </c>
      <c r="B93" s="859" t="s">
        <v>216</v>
      </c>
      <c r="C93" s="859"/>
      <c r="D93" s="859"/>
      <c r="E93" s="220">
        <f>D81</f>
        <v>0</v>
      </c>
      <c r="F93" s="97"/>
      <c r="G93" s="222">
        <f>E81</f>
        <v>0</v>
      </c>
      <c r="H93" s="97"/>
      <c r="I93" s="224" t="str">
        <f>F81</f>
        <v>-</v>
      </c>
      <c r="J93" s="144" t="s">
        <v>360</v>
      </c>
      <c r="K93" s="188"/>
      <c r="L93" s="188"/>
      <c r="M93" s="253"/>
      <c r="N93" s="253"/>
      <c r="O93" s="186"/>
      <c r="P93" s="183"/>
      <c r="Q93" s="184"/>
    </row>
    <row r="94" spans="1:38" ht="23.45" customHeight="1" x14ac:dyDescent="0.3">
      <c r="A94" s="35" t="s">
        <v>413</v>
      </c>
      <c r="B94" s="860" t="s">
        <v>217</v>
      </c>
      <c r="C94" s="860"/>
      <c r="D94" s="860"/>
      <c r="E94" s="220">
        <f>D57</f>
        <v>24807.690000000002</v>
      </c>
      <c r="F94" s="97">
        <f>E94/$E$85</f>
        <v>7.7821231505886381E-3</v>
      </c>
      <c r="G94" s="222">
        <f>E57</f>
        <v>40611.119999999995</v>
      </c>
      <c r="H94" s="97">
        <f>G94/$G$85</f>
        <v>1.6362072451821127E-2</v>
      </c>
      <c r="I94" s="222">
        <f>F57</f>
        <v>0</v>
      </c>
      <c r="J94" s="97" t="e">
        <f>I94/$I$85</f>
        <v>#DIV/0!</v>
      </c>
      <c r="K94" s="188"/>
      <c r="L94" s="188"/>
      <c r="M94" s="253"/>
      <c r="N94" s="253"/>
      <c r="O94" s="186"/>
      <c r="P94" s="183"/>
      <c r="Q94" s="184"/>
    </row>
    <row r="95" spans="1:38" ht="23.45" customHeight="1" thickBot="1" x14ac:dyDescent="0.35">
      <c r="A95" s="57" t="s">
        <v>437</v>
      </c>
      <c r="B95" s="861" t="s">
        <v>49</v>
      </c>
      <c r="C95" s="861"/>
      <c r="D95" s="861"/>
      <c r="E95" s="221">
        <f>D82</f>
        <v>0</v>
      </c>
      <c r="F95" s="98">
        <f>E95/$E$85</f>
        <v>0</v>
      </c>
      <c r="G95" s="223">
        <f>E82</f>
        <v>0</v>
      </c>
      <c r="H95" s="98">
        <f>G95/$G$85</f>
        <v>0</v>
      </c>
      <c r="I95" s="225" t="str">
        <f>F82</f>
        <v>-</v>
      </c>
      <c r="J95" s="145" t="str">
        <f>G82</f>
        <v>-</v>
      </c>
      <c r="K95" s="188"/>
      <c r="L95" s="188"/>
      <c r="M95" s="253"/>
      <c r="N95" s="253"/>
      <c r="O95" s="186"/>
      <c r="P95" s="183"/>
      <c r="Q95" s="184"/>
    </row>
    <row r="96" spans="1:38" s="183" customFormat="1" x14ac:dyDescent="0.25">
      <c r="A96" s="858"/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</row>
    <row r="97" spans="1:17" s="183" customFormat="1" x14ac:dyDescent="0.25">
      <c r="A97" s="858"/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</row>
    <row r="98" spans="1:17" s="183" customFormat="1" x14ac:dyDescent="0.25">
      <c r="A98" s="858"/>
      <c r="B98" s="858"/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</row>
    <row r="99" spans="1:17" s="183" customFormat="1" x14ac:dyDescent="0.25">
      <c r="A99" s="858"/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</row>
    <row r="100" spans="1:17" s="183" customFormat="1" x14ac:dyDescent="0.25">
      <c r="A100" s="858"/>
      <c r="B100" s="858"/>
      <c r="C100" s="858"/>
      <c r="D100" s="858"/>
      <c r="E100" s="858"/>
      <c r="F100" s="858"/>
      <c r="G100" s="858"/>
      <c r="H100" s="858"/>
      <c r="I100" s="858"/>
      <c r="J100" s="858"/>
      <c r="K100" s="858"/>
      <c r="L100" s="858"/>
      <c r="M100" s="858"/>
      <c r="N100" s="858"/>
      <c r="O100" s="858"/>
      <c r="P100" s="858"/>
      <c r="Q100" s="858"/>
    </row>
    <row r="101" spans="1:17" s="183" customFormat="1" x14ac:dyDescent="0.25">
      <c r="A101" s="858"/>
      <c r="B101" s="858"/>
      <c r="C101" s="858"/>
      <c r="D101" s="858"/>
      <c r="E101" s="858"/>
      <c r="F101" s="858"/>
      <c r="G101" s="858"/>
      <c r="H101" s="858"/>
      <c r="I101" s="858"/>
      <c r="J101" s="858"/>
      <c r="K101" s="858"/>
      <c r="L101" s="858"/>
      <c r="M101" s="858"/>
      <c r="N101" s="858"/>
      <c r="O101" s="858"/>
      <c r="P101" s="858"/>
      <c r="Q101" s="858"/>
    </row>
    <row r="102" spans="1:17" s="183" customFormat="1" x14ac:dyDescent="0.25">
      <c r="A102" s="858"/>
      <c r="B102" s="858"/>
      <c r="C102" s="858"/>
      <c r="D102" s="858"/>
      <c r="E102" s="858"/>
      <c r="F102" s="858"/>
      <c r="G102" s="858"/>
      <c r="H102" s="858"/>
      <c r="I102" s="858"/>
      <c r="J102" s="858"/>
      <c r="K102" s="858"/>
      <c r="L102" s="858"/>
      <c r="M102" s="858"/>
      <c r="N102" s="858"/>
      <c r="O102" s="858"/>
      <c r="P102" s="858"/>
      <c r="Q102" s="858"/>
    </row>
    <row r="103" spans="1:17" s="183" customFormat="1" x14ac:dyDescent="0.25">
      <c r="A103" s="858"/>
      <c r="B103" s="858"/>
      <c r="C103" s="858"/>
      <c r="D103" s="858"/>
      <c r="E103" s="858"/>
      <c r="F103" s="858"/>
      <c r="G103" s="858"/>
      <c r="H103" s="858"/>
      <c r="I103" s="858"/>
      <c r="J103" s="858"/>
      <c r="K103" s="858"/>
      <c r="L103" s="858"/>
      <c r="M103" s="858"/>
      <c r="N103" s="858"/>
      <c r="O103" s="858"/>
      <c r="P103" s="858"/>
      <c r="Q103" s="858"/>
    </row>
    <row r="104" spans="1:17" s="183" customFormat="1" x14ac:dyDescent="0.25">
      <c r="A104" s="858"/>
      <c r="B104" s="858"/>
      <c r="C104" s="858"/>
      <c r="D104" s="858"/>
      <c r="E104" s="858"/>
      <c r="F104" s="858"/>
      <c r="G104" s="858"/>
      <c r="H104" s="858"/>
      <c r="I104" s="858"/>
      <c r="J104" s="858"/>
      <c r="K104" s="858"/>
      <c r="L104" s="858"/>
      <c r="M104" s="858"/>
      <c r="N104" s="858"/>
      <c r="O104" s="858"/>
      <c r="P104" s="858"/>
      <c r="Q104" s="858"/>
    </row>
    <row r="105" spans="1:17" s="183" customFormat="1" x14ac:dyDescent="0.25">
      <c r="A105" s="858"/>
      <c r="B105" s="858"/>
      <c r="C105" s="858"/>
      <c r="D105" s="858"/>
      <c r="E105" s="858"/>
      <c r="F105" s="858"/>
      <c r="G105" s="858"/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</row>
    <row r="106" spans="1:17" s="183" customFormat="1" x14ac:dyDescent="0.25">
      <c r="A106" s="858"/>
      <c r="B106" s="858"/>
      <c r="C106" s="858"/>
      <c r="D106" s="858"/>
      <c r="E106" s="858"/>
      <c r="F106" s="858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8"/>
    </row>
    <row r="107" spans="1:17" s="183" customFormat="1" x14ac:dyDescent="0.25">
      <c r="A107" s="858"/>
      <c r="B107" s="858"/>
      <c r="C107" s="858"/>
      <c r="D107" s="858"/>
      <c r="E107" s="858"/>
      <c r="F107" s="858"/>
      <c r="G107" s="858"/>
      <c r="H107" s="858"/>
      <c r="I107" s="858"/>
      <c r="J107" s="858"/>
      <c r="K107" s="858"/>
      <c r="L107" s="858"/>
      <c r="M107" s="858"/>
      <c r="N107" s="858"/>
      <c r="O107" s="858"/>
      <c r="P107" s="858"/>
      <c r="Q107" s="858"/>
    </row>
    <row r="108" spans="1:17" s="183" customFormat="1" x14ac:dyDescent="0.25">
      <c r="A108" s="858"/>
      <c r="B108" s="858"/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</row>
    <row r="109" spans="1:17" s="183" customFormat="1" x14ac:dyDescent="0.25">
      <c r="A109" s="858"/>
      <c r="B109" s="858"/>
      <c r="C109" s="858"/>
      <c r="D109" s="858"/>
      <c r="E109" s="858"/>
      <c r="F109" s="858"/>
      <c r="G109" s="858"/>
      <c r="H109" s="858"/>
      <c r="I109" s="858"/>
      <c r="J109" s="858"/>
      <c r="K109" s="858"/>
      <c r="L109" s="858"/>
      <c r="M109" s="858"/>
      <c r="N109" s="858"/>
      <c r="O109" s="858"/>
      <c r="P109" s="858"/>
      <c r="Q109" s="858"/>
    </row>
    <row r="110" spans="1:17" s="183" customFormat="1" x14ac:dyDescent="0.25">
      <c r="A110" s="858"/>
      <c r="B110" s="858"/>
      <c r="C110" s="858"/>
      <c r="D110" s="858"/>
      <c r="E110" s="858"/>
      <c r="F110" s="858"/>
      <c r="G110" s="858"/>
      <c r="H110" s="858"/>
      <c r="I110" s="858"/>
      <c r="J110" s="858"/>
      <c r="K110" s="858"/>
      <c r="L110" s="858"/>
      <c r="M110" s="858"/>
      <c r="N110" s="858"/>
      <c r="O110" s="858"/>
      <c r="P110" s="858"/>
      <c r="Q110" s="858"/>
    </row>
    <row r="111" spans="1:17" s="183" customFormat="1" x14ac:dyDescent="0.25">
      <c r="A111" s="858"/>
      <c r="B111" s="858"/>
      <c r="C111" s="858"/>
      <c r="D111" s="858"/>
      <c r="E111" s="858"/>
      <c r="F111" s="858"/>
      <c r="G111" s="858"/>
      <c r="H111" s="858"/>
      <c r="I111" s="858"/>
      <c r="J111" s="858"/>
      <c r="K111" s="858"/>
      <c r="L111" s="858"/>
      <c r="M111" s="858"/>
      <c r="N111" s="858"/>
      <c r="O111" s="858"/>
      <c r="P111" s="858"/>
      <c r="Q111" s="858"/>
    </row>
    <row r="112" spans="1:17" s="183" customFormat="1" x14ac:dyDescent="0.25">
      <c r="A112" s="858"/>
      <c r="B112" s="858"/>
      <c r="C112" s="858"/>
      <c r="D112" s="858"/>
      <c r="E112" s="858"/>
      <c r="F112" s="858"/>
      <c r="G112" s="858"/>
      <c r="H112" s="858"/>
      <c r="I112" s="858"/>
      <c r="J112" s="858"/>
      <c r="K112" s="858"/>
      <c r="L112" s="858"/>
      <c r="M112" s="858"/>
      <c r="N112" s="858"/>
      <c r="O112" s="858"/>
      <c r="P112" s="858"/>
      <c r="Q112" s="858"/>
    </row>
    <row r="113" spans="1:17" s="183" customFormat="1" x14ac:dyDescent="0.25">
      <c r="A113" s="858"/>
      <c r="B113" s="858"/>
      <c r="C113" s="858"/>
      <c r="D113" s="858"/>
      <c r="E113" s="858"/>
      <c r="F113" s="858"/>
      <c r="G113" s="858"/>
      <c r="H113" s="858"/>
      <c r="I113" s="858"/>
      <c r="J113" s="858"/>
      <c r="K113" s="858"/>
      <c r="L113" s="858"/>
      <c r="M113" s="858"/>
      <c r="N113" s="858"/>
      <c r="O113" s="858"/>
      <c r="P113" s="858"/>
      <c r="Q113" s="858"/>
    </row>
    <row r="114" spans="1:17" s="183" customFormat="1" x14ac:dyDescent="0.25">
      <c r="A114" s="858"/>
      <c r="B114" s="858"/>
      <c r="C114" s="858"/>
      <c r="D114" s="858"/>
      <c r="E114" s="858"/>
      <c r="F114" s="858"/>
      <c r="G114" s="858"/>
      <c r="H114" s="858"/>
      <c r="I114" s="858"/>
      <c r="J114" s="858"/>
      <c r="K114" s="858"/>
      <c r="L114" s="858"/>
      <c r="M114" s="858"/>
      <c r="N114" s="858"/>
      <c r="O114" s="858"/>
      <c r="P114" s="858"/>
      <c r="Q114" s="858"/>
    </row>
    <row r="115" spans="1:17" s="183" customFormat="1" x14ac:dyDescent="0.25">
      <c r="A115" s="858"/>
      <c r="B115" s="858"/>
      <c r="C115" s="858"/>
      <c r="D115" s="858"/>
      <c r="E115" s="858"/>
      <c r="F115" s="858"/>
      <c r="G115" s="858"/>
      <c r="H115" s="858"/>
      <c r="I115" s="858"/>
      <c r="J115" s="858"/>
      <c r="K115" s="858"/>
      <c r="L115" s="858"/>
      <c r="M115" s="858"/>
      <c r="N115" s="858"/>
      <c r="O115" s="858"/>
      <c r="P115" s="858"/>
      <c r="Q115" s="858"/>
    </row>
    <row r="116" spans="1:17" s="183" customFormat="1" x14ac:dyDescent="0.25">
      <c r="A116" s="858"/>
      <c r="B116" s="858"/>
      <c r="C116" s="858"/>
      <c r="D116" s="858"/>
      <c r="E116" s="858"/>
      <c r="F116" s="858"/>
      <c r="G116" s="858"/>
      <c r="H116" s="858"/>
      <c r="I116" s="858"/>
      <c r="J116" s="858"/>
      <c r="K116" s="858"/>
      <c r="L116" s="858"/>
      <c r="M116" s="858"/>
      <c r="N116" s="858"/>
      <c r="O116" s="858"/>
      <c r="P116" s="858"/>
      <c r="Q116" s="858"/>
    </row>
    <row r="117" spans="1:17" s="183" customFormat="1" x14ac:dyDescent="0.25">
      <c r="A117" s="858"/>
      <c r="B117" s="858"/>
      <c r="C117" s="858"/>
      <c r="D117" s="858"/>
      <c r="E117" s="858"/>
      <c r="F117" s="858"/>
      <c r="G117" s="858"/>
      <c r="H117" s="858"/>
      <c r="I117" s="858"/>
      <c r="J117" s="858"/>
      <c r="K117" s="858"/>
      <c r="L117" s="858"/>
      <c r="M117" s="858"/>
      <c r="N117" s="858"/>
      <c r="O117" s="858"/>
      <c r="P117" s="858"/>
      <c r="Q117" s="858"/>
    </row>
    <row r="118" spans="1:17" s="183" customFormat="1" x14ac:dyDescent="0.25">
      <c r="A118" s="858"/>
      <c r="B118" s="858"/>
      <c r="C118" s="858"/>
      <c r="D118" s="858"/>
      <c r="E118" s="858"/>
      <c r="F118" s="858"/>
      <c r="G118" s="858"/>
      <c r="H118" s="858"/>
      <c r="I118" s="858"/>
      <c r="J118" s="858"/>
      <c r="K118" s="858"/>
      <c r="L118" s="858"/>
      <c r="M118" s="858"/>
      <c r="N118" s="858"/>
      <c r="O118" s="858"/>
      <c r="P118" s="858"/>
      <c r="Q118" s="858"/>
    </row>
    <row r="119" spans="1:17" s="183" customFormat="1" x14ac:dyDescent="0.25">
      <c r="A119" s="858"/>
      <c r="B119" s="858"/>
      <c r="C119" s="858"/>
      <c r="D119" s="858"/>
      <c r="E119" s="858"/>
      <c r="F119" s="858"/>
      <c r="G119" s="858"/>
      <c r="H119" s="858"/>
      <c r="I119" s="858"/>
      <c r="J119" s="858"/>
      <c r="K119" s="858"/>
      <c r="L119" s="858"/>
      <c r="M119" s="858"/>
      <c r="N119" s="858"/>
      <c r="O119" s="858"/>
      <c r="P119" s="858"/>
      <c r="Q119" s="858"/>
    </row>
    <row r="120" spans="1:17" s="183" customFormat="1" x14ac:dyDescent="0.25">
      <c r="A120" s="858"/>
      <c r="B120" s="858"/>
      <c r="C120" s="858"/>
      <c r="D120" s="858"/>
      <c r="E120" s="858"/>
      <c r="F120" s="858"/>
      <c r="G120" s="858"/>
      <c r="H120" s="858"/>
      <c r="I120" s="858"/>
      <c r="J120" s="858"/>
      <c r="K120" s="858"/>
      <c r="L120" s="858"/>
      <c r="M120" s="858"/>
      <c r="N120" s="858"/>
      <c r="O120" s="858"/>
      <c r="P120" s="858"/>
      <c r="Q120" s="858"/>
    </row>
    <row r="121" spans="1:17" s="183" customFormat="1" x14ac:dyDescent="0.25">
      <c r="A121" s="254"/>
      <c r="B121" s="256"/>
      <c r="D121" s="187"/>
      <c r="E121" s="187"/>
      <c r="F121" s="187"/>
      <c r="G121" s="187"/>
      <c r="H121" s="188"/>
      <c r="I121" s="188"/>
      <c r="J121" s="188"/>
      <c r="K121" s="188"/>
      <c r="L121" s="188"/>
      <c r="M121" s="253"/>
      <c r="N121" s="253"/>
      <c r="O121" s="186"/>
      <c r="Q121" s="184"/>
    </row>
    <row r="122" spans="1:17" s="183" customFormat="1" x14ac:dyDescent="0.25">
      <c r="A122" s="254"/>
      <c r="B122" s="256"/>
      <c r="D122" s="187"/>
      <c r="E122" s="187"/>
      <c r="F122" s="187"/>
      <c r="G122" s="187"/>
      <c r="H122" s="188"/>
      <c r="I122" s="188"/>
      <c r="J122" s="188"/>
      <c r="K122" s="188"/>
      <c r="L122" s="188"/>
      <c r="M122" s="253"/>
      <c r="N122" s="253"/>
      <c r="O122" s="186"/>
      <c r="Q122" s="184"/>
    </row>
    <row r="123" spans="1:17" s="183" customFormat="1" x14ac:dyDescent="0.25">
      <c r="A123" s="254"/>
      <c r="B123" s="256"/>
      <c r="D123" s="187"/>
      <c r="E123" s="187"/>
      <c r="F123" s="187"/>
      <c r="G123" s="187"/>
      <c r="H123" s="188"/>
      <c r="I123" s="188"/>
      <c r="J123" s="188"/>
      <c r="K123" s="188"/>
      <c r="L123" s="188"/>
      <c r="M123" s="253"/>
      <c r="N123" s="253"/>
      <c r="O123" s="186"/>
      <c r="Q123" s="184"/>
    </row>
    <row r="124" spans="1:17" s="183" customFormat="1" x14ac:dyDescent="0.25">
      <c r="A124" s="254"/>
      <c r="B124" s="256"/>
      <c r="D124" s="187"/>
      <c r="E124" s="187"/>
      <c r="F124" s="187"/>
      <c r="G124" s="187"/>
      <c r="H124" s="188"/>
      <c r="I124" s="188"/>
      <c r="J124" s="188"/>
      <c r="K124" s="188"/>
      <c r="L124" s="188"/>
      <c r="M124" s="253"/>
      <c r="N124" s="253"/>
      <c r="O124" s="186"/>
      <c r="Q124" s="184"/>
    </row>
    <row r="125" spans="1:17" s="183" customFormat="1" x14ac:dyDescent="0.25">
      <c r="A125" s="254"/>
      <c r="B125" s="256"/>
      <c r="D125" s="187"/>
      <c r="E125" s="187"/>
      <c r="F125" s="187"/>
      <c r="G125" s="187"/>
      <c r="H125" s="188"/>
      <c r="I125" s="188"/>
      <c r="J125" s="188"/>
      <c r="K125" s="188"/>
      <c r="L125" s="188"/>
      <c r="M125" s="253"/>
      <c r="N125" s="253"/>
      <c r="O125" s="186"/>
      <c r="Q125" s="184"/>
    </row>
    <row r="126" spans="1:17" s="183" customFormat="1" x14ac:dyDescent="0.25">
      <c r="A126" s="254"/>
      <c r="B126" s="256"/>
      <c r="D126" s="187"/>
      <c r="E126" s="187"/>
      <c r="F126" s="187"/>
      <c r="G126" s="187"/>
      <c r="H126" s="188"/>
      <c r="I126" s="188"/>
      <c r="J126" s="188"/>
      <c r="K126" s="188"/>
      <c r="L126" s="188"/>
      <c r="M126" s="253"/>
      <c r="N126" s="253"/>
      <c r="O126" s="186"/>
      <c r="Q126" s="184"/>
    </row>
    <row r="127" spans="1:17" s="183" customFormat="1" x14ac:dyDescent="0.25">
      <c r="A127" s="254"/>
      <c r="B127" s="256"/>
      <c r="D127" s="187"/>
      <c r="E127" s="187"/>
      <c r="F127" s="187"/>
      <c r="G127" s="187"/>
      <c r="H127" s="188"/>
      <c r="I127" s="188"/>
      <c r="J127" s="188"/>
      <c r="K127" s="188"/>
      <c r="L127" s="188"/>
      <c r="M127" s="253"/>
      <c r="N127" s="253"/>
      <c r="O127" s="186"/>
      <c r="Q127" s="184"/>
    </row>
    <row r="128" spans="1:17" s="183" customFormat="1" x14ac:dyDescent="0.25">
      <c r="A128" s="254"/>
      <c r="B128" s="256"/>
      <c r="D128" s="187"/>
      <c r="E128" s="187"/>
      <c r="F128" s="187"/>
      <c r="G128" s="187"/>
      <c r="H128" s="188"/>
      <c r="I128" s="188"/>
      <c r="J128" s="188"/>
      <c r="K128" s="188"/>
      <c r="L128" s="188"/>
      <c r="M128" s="253"/>
      <c r="N128" s="253"/>
      <c r="O128" s="186"/>
      <c r="Q128" s="184"/>
    </row>
    <row r="129" spans="1:17" s="183" customFormat="1" x14ac:dyDescent="0.25">
      <c r="A129" s="254"/>
      <c r="B129" s="256"/>
      <c r="D129" s="187"/>
      <c r="E129" s="187"/>
      <c r="F129" s="187"/>
      <c r="G129" s="187"/>
      <c r="H129" s="188"/>
      <c r="I129" s="188"/>
      <c r="J129" s="188"/>
      <c r="K129" s="188"/>
      <c r="L129" s="188"/>
      <c r="M129" s="253"/>
      <c r="N129" s="253"/>
      <c r="O129" s="186"/>
      <c r="Q129" s="184"/>
    </row>
    <row r="130" spans="1:17" s="183" customFormat="1" x14ac:dyDescent="0.25">
      <c r="A130" s="254"/>
      <c r="B130" s="256"/>
      <c r="D130" s="187"/>
      <c r="E130" s="187"/>
      <c r="F130" s="187"/>
      <c r="G130" s="187"/>
      <c r="H130" s="188"/>
      <c r="I130" s="188"/>
      <c r="J130" s="188"/>
      <c r="K130" s="188"/>
      <c r="L130" s="188"/>
      <c r="M130" s="253"/>
      <c r="N130" s="253"/>
      <c r="O130" s="186"/>
      <c r="Q130" s="184"/>
    </row>
    <row r="131" spans="1:17" s="183" customFormat="1" x14ac:dyDescent="0.25">
      <c r="A131" s="254"/>
      <c r="B131" s="256"/>
      <c r="D131" s="187"/>
      <c r="E131" s="187"/>
      <c r="F131" s="187"/>
      <c r="G131" s="187"/>
      <c r="H131" s="188"/>
      <c r="I131" s="188"/>
      <c r="J131" s="188"/>
      <c r="K131" s="188"/>
      <c r="L131" s="188"/>
      <c r="M131" s="253"/>
      <c r="N131" s="253"/>
      <c r="O131" s="186"/>
      <c r="Q131" s="184"/>
    </row>
    <row r="132" spans="1:17" s="183" customFormat="1" x14ac:dyDescent="0.25">
      <c r="A132" s="254"/>
      <c r="B132" s="256"/>
      <c r="D132" s="187"/>
      <c r="E132" s="187"/>
      <c r="F132" s="187"/>
      <c r="G132" s="187"/>
      <c r="H132" s="188"/>
      <c r="I132" s="188"/>
      <c r="J132" s="188"/>
      <c r="K132" s="188"/>
      <c r="L132" s="188"/>
      <c r="M132" s="253"/>
      <c r="N132" s="253"/>
      <c r="O132" s="186"/>
      <c r="Q132" s="184"/>
    </row>
    <row r="133" spans="1:17" s="183" customFormat="1" x14ac:dyDescent="0.25">
      <c r="A133" s="254"/>
      <c r="B133" s="256"/>
      <c r="D133" s="187"/>
      <c r="E133" s="187"/>
      <c r="F133" s="187"/>
      <c r="G133" s="187"/>
      <c r="H133" s="188"/>
      <c r="I133" s="188"/>
      <c r="J133" s="188"/>
      <c r="K133" s="188"/>
      <c r="L133" s="188"/>
      <c r="M133" s="253"/>
      <c r="N133" s="253"/>
      <c r="O133" s="186"/>
      <c r="Q133" s="184"/>
    </row>
    <row r="134" spans="1:17" s="183" customFormat="1" x14ac:dyDescent="0.25">
      <c r="A134" s="254"/>
      <c r="B134" s="256"/>
      <c r="D134" s="187"/>
      <c r="E134" s="187"/>
      <c r="F134" s="187"/>
      <c r="G134" s="187"/>
      <c r="H134" s="188"/>
      <c r="I134" s="188"/>
      <c r="J134" s="188"/>
      <c r="K134" s="188"/>
      <c r="L134" s="188"/>
      <c r="M134" s="253"/>
      <c r="N134" s="253"/>
      <c r="O134" s="186"/>
      <c r="Q134" s="184"/>
    </row>
    <row r="135" spans="1:17" s="183" customFormat="1" x14ac:dyDescent="0.25">
      <c r="A135" s="254"/>
      <c r="B135" s="256"/>
      <c r="D135" s="187"/>
      <c r="E135" s="187"/>
      <c r="F135" s="187"/>
      <c r="G135" s="187"/>
      <c r="H135" s="188"/>
      <c r="I135" s="188"/>
      <c r="J135" s="188"/>
      <c r="K135" s="188"/>
      <c r="L135" s="188"/>
      <c r="M135" s="253"/>
      <c r="N135" s="253"/>
      <c r="O135" s="186"/>
      <c r="Q135" s="184"/>
    </row>
    <row r="136" spans="1:17" s="183" customFormat="1" x14ac:dyDescent="0.25">
      <c r="A136" s="254"/>
      <c r="B136" s="256"/>
      <c r="D136" s="187"/>
      <c r="E136" s="187"/>
      <c r="F136" s="187"/>
      <c r="G136" s="187"/>
      <c r="H136" s="188"/>
      <c r="I136" s="188"/>
      <c r="J136" s="188"/>
      <c r="K136" s="188"/>
      <c r="L136" s="188"/>
      <c r="M136" s="253"/>
      <c r="N136" s="253"/>
      <c r="O136" s="186"/>
      <c r="Q136" s="184"/>
    </row>
    <row r="137" spans="1:17" s="183" customFormat="1" x14ac:dyDescent="0.25">
      <c r="A137" s="254"/>
      <c r="B137" s="256"/>
      <c r="D137" s="187"/>
      <c r="E137" s="187"/>
      <c r="F137" s="187"/>
      <c r="G137" s="187"/>
      <c r="H137" s="188"/>
      <c r="I137" s="188"/>
      <c r="J137" s="188"/>
      <c r="K137" s="188"/>
      <c r="L137" s="188"/>
      <c r="M137" s="253"/>
      <c r="N137" s="253"/>
      <c r="O137" s="186"/>
      <c r="Q137" s="184"/>
    </row>
    <row r="138" spans="1:17" s="183" customFormat="1" x14ac:dyDescent="0.25">
      <c r="A138" s="254"/>
      <c r="B138" s="256"/>
      <c r="D138" s="187"/>
      <c r="E138" s="187"/>
      <c r="F138" s="187"/>
      <c r="G138" s="187"/>
      <c r="H138" s="188"/>
      <c r="I138" s="188"/>
      <c r="J138" s="188"/>
      <c r="K138" s="188"/>
      <c r="L138" s="188"/>
      <c r="M138" s="253"/>
      <c r="N138" s="253"/>
      <c r="O138" s="186"/>
      <c r="Q138" s="184"/>
    </row>
    <row r="139" spans="1:17" s="183" customFormat="1" x14ac:dyDescent="0.25">
      <c r="A139" s="254"/>
      <c r="B139" s="256"/>
      <c r="D139" s="187"/>
      <c r="E139" s="187"/>
      <c r="F139" s="187"/>
      <c r="G139" s="187"/>
      <c r="H139" s="188"/>
      <c r="I139" s="188"/>
      <c r="J139" s="188"/>
      <c r="K139" s="188"/>
      <c r="L139" s="188"/>
      <c r="M139" s="253"/>
      <c r="N139" s="253"/>
      <c r="O139" s="186"/>
      <c r="Q139" s="184"/>
    </row>
    <row r="140" spans="1:17" s="183" customFormat="1" x14ac:dyDescent="0.25">
      <c r="A140" s="254"/>
      <c r="B140" s="256"/>
      <c r="D140" s="187"/>
      <c r="E140" s="187"/>
      <c r="F140" s="187"/>
      <c r="G140" s="187"/>
      <c r="H140" s="188"/>
      <c r="I140" s="188"/>
      <c r="J140" s="188"/>
      <c r="K140" s="188"/>
      <c r="L140" s="188"/>
      <c r="M140" s="253"/>
      <c r="N140" s="253"/>
      <c r="O140" s="186"/>
      <c r="Q140" s="184"/>
    </row>
    <row r="141" spans="1:17" s="183" customFormat="1" x14ac:dyDescent="0.25">
      <c r="A141" s="254"/>
      <c r="B141" s="256"/>
      <c r="D141" s="187"/>
      <c r="E141" s="187"/>
      <c r="F141" s="187"/>
      <c r="G141" s="187"/>
      <c r="H141" s="188"/>
      <c r="I141" s="188"/>
      <c r="J141" s="188"/>
      <c r="K141" s="188"/>
      <c r="L141" s="188"/>
      <c r="M141" s="253"/>
      <c r="N141" s="253"/>
      <c r="O141" s="186"/>
      <c r="Q141" s="184"/>
    </row>
    <row r="142" spans="1:17" s="183" customFormat="1" x14ac:dyDescent="0.25">
      <c r="A142" s="254"/>
      <c r="B142" s="256"/>
      <c r="D142" s="187"/>
      <c r="E142" s="187"/>
      <c r="F142" s="187"/>
      <c r="G142" s="187"/>
      <c r="H142" s="188"/>
      <c r="I142" s="188"/>
      <c r="J142" s="188"/>
      <c r="K142" s="188"/>
      <c r="L142" s="188"/>
      <c r="M142" s="253"/>
      <c r="N142" s="253"/>
      <c r="O142" s="186"/>
      <c r="Q142" s="184"/>
    </row>
    <row r="143" spans="1:17" s="183" customFormat="1" x14ac:dyDescent="0.25">
      <c r="A143" s="254"/>
      <c r="B143" s="256"/>
      <c r="D143" s="187"/>
      <c r="E143" s="187"/>
      <c r="F143" s="187"/>
      <c r="G143" s="187"/>
      <c r="H143" s="188"/>
      <c r="I143" s="188"/>
      <c r="J143" s="188"/>
      <c r="K143" s="188"/>
      <c r="L143" s="188"/>
      <c r="M143" s="253"/>
      <c r="N143" s="253"/>
      <c r="O143" s="186"/>
      <c r="Q143" s="184"/>
    </row>
    <row r="144" spans="1:17" s="183" customFormat="1" x14ac:dyDescent="0.25">
      <c r="A144" s="254"/>
      <c r="B144" s="256"/>
      <c r="D144" s="187"/>
      <c r="E144" s="187"/>
      <c r="F144" s="187"/>
      <c r="G144" s="187"/>
      <c r="H144" s="188"/>
      <c r="I144" s="188"/>
      <c r="J144" s="188"/>
      <c r="K144" s="188"/>
      <c r="L144" s="188"/>
      <c r="M144" s="253"/>
      <c r="N144" s="253"/>
      <c r="O144" s="186"/>
      <c r="Q144" s="184"/>
    </row>
    <row r="145" spans="1:17" s="183" customFormat="1" x14ac:dyDescent="0.25">
      <c r="A145" s="254"/>
      <c r="B145" s="256"/>
      <c r="D145" s="187"/>
      <c r="E145" s="187"/>
      <c r="F145" s="187"/>
      <c r="G145" s="187"/>
      <c r="H145" s="188"/>
      <c r="I145" s="188"/>
      <c r="J145" s="188"/>
      <c r="K145" s="188"/>
      <c r="L145" s="188"/>
      <c r="M145" s="253"/>
      <c r="N145" s="253"/>
      <c r="O145" s="186"/>
      <c r="Q145" s="184"/>
    </row>
    <row r="146" spans="1:17" s="183" customFormat="1" x14ac:dyDescent="0.25">
      <c r="A146" s="254"/>
      <c r="B146" s="256"/>
      <c r="D146" s="187"/>
      <c r="E146" s="187"/>
      <c r="F146" s="187"/>
      <c r="G146" s="187"/>
      <c r="H146" s="188"/>
      <c r="I146" s="188"/>
      <c r="J146" s="188"/>
      <c r="K146" s="188"/>
      <c r="L146" s="188"/>
      <c r="M146" s="253"/>
      <c r="N146" s="253"/>
      <c r="O146" s="186"/>
      <c r="Q146" s="184"/>
    </row>
    <row r="147" spans="1:17" s="183" customFormat="1" x14ac:dyDescent="0.25">
      <c r="A147" s="254"/>
      <c r="B147" s="256"/>
      <c r="D147" s="187"/>
      <c r="E147" s="187"/>
      <c r="F147" s="187"/>
      <c r="G147" s="187"/>
      <c r="H147" s="188"/>
      <c r="I147" s="188"/>
      <c r="J147" s="188"/>
      <c r="K147" s="188"/>
      <c r="L147" s="188"/>
      <c r="M147" s="253"/>
      <c r="N147" s="253"/>
      <c r="O147" s="186"/>
      <c r="Q147" s="184"/>
    </row>
    <row r="148" spans="1:17" s="183" customFormat="1" x14ac:dyDescent="0.25">
      <c r="A148" s="254"/>
      <c r="B148" s="256"/>
      <c r="D148" s="187"/>
      <c r="E148" s="187"/>
      <c r="F148" s="187"/>
      <c r="G148" s="187"/>
      <c r="H148" s="188"/>
      <c r="I148" s="188"/>
      <c r="J148" s="188"/>
      <c r="K148" s="188"/>
      <c r="L148" s="188"/>
      <c r="M148" s="253"/>
      <c r="N148" s="253"/>
      <c r="O148" s="186"/>
      <c r="Q148" s="184"/>
    </row>
    <row r="149" spans="1:17" s="183" customFormat="1" x14ac:dyDescent="0.25">
      <c r="A149" s="254"/>
      <c r="B149" s="256"/>
      <c r="D149" s="187"/>
      <c r="E149" s="187"/>
      <c r="F149" s="187"/>
      <c r="G149" s="187"/>
      <c r="H149" s="188"/>
      <c r="I149" s="188"/>
      <c r="J149" s="188"/>
      <c r="K149" s="188"/>
      <c r="L149" s="188"/>
      <c r="M149" s="253"/>
      <c r="N149" s="253"/>
      <c r="O149" s="186"/>
      <c r="Q149" s="184"/>
    </row>
    <row r="150" spans="1:17" s="183" customFormat="1" x14ac:dyDescent="0.25">
      <c r="A150" s="254"/>
      <c r="B150" s="256"/>
      <c r="D150" s="187"/>
      <c r="E150" s="187"/>
      <c r="F150" s="187"/>
      <c r="G150" s="187"/>
      <c r="H150" s="188"/>
      <c r="I150" s="188"/>
      <c r="J150" s="188"/>
      <c r="K150" s="188"/>
      <c r="L150" s="188"/>
      <c r="M150" s="253"/>
      <c r="N150" s="253"/>
      <c r="O150" s="186"/>
      <c r="Q150" s="184"/>
    </row>
    <row r="151" spans="1:17" s="183" customFormat="1" x14ac:dyDescent="0.25">
      <c r="A151" s="254"/>
      <c r="B151" s="256"/>
      <c r="D151" s="187"/>
      <c r="E151" s="187"/>
      <c r="F151" s="187"/>
      <c r="G151" s="187"/>
      <c r="H151" s="188"/>
      <c r="I151" s="188"/>
      <c r="J151" s="188"/>
      <c r="K151" s="188"/>
      <c r="L151" s="188"/>
      <c r="M151" s="253"/>
      <c r="N151" s="253"/>
      <c r="O151" s="186"/>
      <c r="Q151" s="184"/>
    </row>
    <row r="152" spans="1:17" s="183" customFormat="1" x14ac:dyDescent="0.25">
      <c r="A152" s="254"/>
      <c r="B152" s="256"/>
      <c r="D152" s="187"/>
      <c r="E152" s="187"/>
      <c r="F152" s="187"/>
      <c r="G152" s="187"/>
      <c r="H152" s="188"/>
      <c r="I152" s="188"/>
      <c r="J152" s="188"/>
      <c r="K152" s="188"/>
      <c r="L152" s="188"/>
      <c r="M152" s="253"/>
      <c r="N152" s="253"/>
      <c r="O152" s="186"/>
      <c r="Q152" s="184"/>
    </row>
    <row r="153" spans="1:17" s="183" customFormat="1" x14ac:dyDescent="0.25">
      <c r="A153" s="254"/>
      <c r="B153" s="256"/>
      <c r="D153" s="187"/>
      <c r="E153" s="187"/>
      <c r="F153" s="187"/>
      <c r="G153" s="187"/>
      <c r="H153" s="188"/>
      <c r="I153" s="188"/>
      <c r="J153" s="188"/>
      <c r="K153" s="188"/>
      <c r="L153" s="188"/>
      <c r="M153" s="253"/>
      <c r="N153" s="253"/>
      <c r="O153" s="186"/>
      <c r="Q153" s="184"/>
    </row>
    <row r="154" spans="1:17" s="183" customFormat="1" x14ac:dyDescent="0.25">
      <c r="A154" s="254"/>
      <c r="B154" s="256"/>
      <c r="D154" s="187"/>
      <c r="E154" s="187"/>
      <c r="F154" s="187"/>
      <c r="G154" s="187"/>
      <c r="H154" s="188"/>
      <c r="I154" s="188"/>
      <c r="J154" s="188"/>
      <c r="K154" s="188"/>
      <c r="L154" s="188"/>
      <c r="M154" s="253"/>
      <c r="N154" s="253"/>
      <c r="O154" s="186"/>
      <c r="Q154" s="184"/>
    </row>
    <row r="155" spans="1:17" s="183" customFormat="1" x14ac:dyDescent="0.25">
      <c r="A155" s="254"/>
      <c r="B155" s="256"/>
      <c r="D155" s="187"/>
      <c r="E155" s="187"/>
      <c r="F155" s="187"/>
      <c r="G155" s="187"/>
      <c r="H155" s="188"/>
      <c r="I155" s="188"/>
      <c r="J155" s="188"/>
      <c r="K155" s="188"/>
      <c r="L155" s="188"/>
      <c r="M155" s="253"/>
      <c r="N155" s="253"/>
      <c r="O155" s="186"/>
      <c r="Q155" s="184"/>
    </row>
    <row r="156" spans="1:17" s="183" customFormat="1" x14ac:dyDescent="0.25">
      <c r="A156" s="254"/>
      <c r="B156" s="256"/>
      <c r="D156" s="187"/>
      <c r="E156" s="187"/>
      <c r="F156" s="187"/>
      <c r="G156" s="187"/>
      <c r="H156" s="188"/>
      <c r="I156" s="188"/>
      <c r="J156" s="188"/>
      <c r="K156" s="188"/>
      <c r="L156" s="188"/>
      <c r="M156" s="253"/>
      <c r="N156" s="253"/>
      <c r="O156" s="186"/>
      <c r="Q156" s="184"/>
    </row>
    <row r="157" spans="1:17" s="183" customFormat="1" x14ac:dyDescent="0.25">
      <c r="A157" s="254"/>
      <c r="B157" s="256"/>
      <c r="D157" s="187"/>
      <c r="E157" s="187"/>
      <c r="F157" s="187"/>
      <c r="G157" s="187"/>
      <c r="H157" s="188"/>
      <c r="I157" s="188"/>
      <c r="J157" s="188"/>
      <c r="K157" s="188"/>
      <c r="L157" s="188"/>
      <c r="M157" s="253"/>
      <c r="N157" s="253"/>
      <c r="O157" s="186"/>
      <c r="Q157" s="184"/>
    </row>
    <row r="158" spans="1:17" s="183" customFormat="1" x14ac:dyDescent="0.25">
      <c r="A158" s="254"/>
      <c r="B158" s="256"/>
      <c r="D158" s="187"/>
      <c r="E158" s="187"/>
      <c r="F158" s="187"/>
      <c r="G158" s="187"/>
      <c r="H158" s="188"/>
      <c r="I158" s="188"/>
      <c r="J158" s="188"/>
      <c r="K158" s="188"/>
      <c r="L158" s="188"/>
      <c r="M158" s="253"/>
      <c r="N158" s="253"/>
      <c r="O158" s="186"/>
      <c r="Q158" s="184"/>
    </row>
    <row r="159" spans="1:17" s="183" customFormat="1" x14ac:dyDescent="0.25">
      <c r="A159" s="254"/>
      <c r="B159" s="256"/>
      <c r="D159" s="187"/>
      <c r="E159" s="187"/>
      <c r="F159" s="187"/>
      <c r="G159" s="187"/>
      <c r="H159" s="188"/>
      <c r="I159" s="188"/>
      <c r="J159" s="188"/>
      <c r="K159" s="188"/>
      <c r="L159" s="188"/>
      <c r="M159" s="253"/>
      <c r="N159" s="253"/>
      <c r="O159" s="186"/>
      <c r="Q159" s="184"/>
    </row>
    <row r="160" spans="1:17" s="183" customFormat="1" x14ac:dyDescent="0.25">
      <c r="A160" s="254"/>
      <c r="B160" s="256"/>
      <c r="D160" s="187"/>
      <c r="E160" s="187"/>
      <c r="F160" s="187"/>
      <c r="G160" s="187"/>
      <c r="H160" s="188"/>
      <c r="I160" s="188"/>
      <c r="J160" s="188"/>
      <c r="K160" s="188"/>
      <c r="L160" s="188"/>
      <c r="M160" s="253"/>
      <c r="N160" s="253"/>
      <c r="O160" s="186"/>
      <c r="Q160" s="184"/>
    </row>
    <row r="161" spans="1:17" s="183" customFormat="1" x14ac:dyDescent="0.25">
      <c r="A161" s="254"/>
      <c r="B161" s="256"/>
      <c r="D161" s="187"/>
      <c r="E161" s="187"/>
      <c r="F161" s="187"/>
      <c r="G161" s="187"/>
      <c r="H161" s="188"/>
      <c r="I161" s="188"/>
      <c r="J161" s="188"/>
      <c r="K161" s="188"/>
      <c r="L161" s="188"/>
      <c r="M161" s="253"/>
      <c r="N161" s="253"/>
      <c r="O161" s="186"/>
      <c r="Q161" s="184"/>
    </row>
    <row r="162" spans="1:17" s="183" customFormat="1" x14ac:dyDescent="0.25">
      <c r="A162" s="254"/>
      <c r="B162" s="256"/>
      <c r="D162" s="187"/>
      <c r="E162" s="187"/>
      <c r="F162" s="187"/>
      <c r="G162" s="187"/>
      <c r="H162" s="188"/>
      <c r="I162" s="188"/>
      <c r="J162" s="188"/>
      <c r="K162" s="188"/>
      <c r="L162" s="188"/>
      <c r="M162" s="253"/>
      <c r="N162" s="253"/>
      <c r="O162" s="186"/>
      <c r="Q162" s="184"/>
    </row>
    <row r="163" spans="1:17" s="183" customFormat="1" x14ac:dyDescent="0.25">
      <c r="A163" s="254"/>
      <c r="B163" s="256"/>
      <c r="D163" s="187"/>
      <c r="E163" s="187"/>
      <c r="F163" s="187"/>
      <c r="G163" s="187"/>
      <c r="H163" s="188"/>
      <c r="I163" s="188"/>
      <c r="J163" s="188"/>
      <c r="K163" s="188"/>
      <c r="L163" s="188"/>
      <c r="M163" s="253"/>
      <c r="N163" s="253"/>
      <c r="O163" s="186"/>
      <c r="Q163" s="184"/>
    </row>
    <row r="164" spans="1:17" s="183" customFormat="1" x14ac:dyDescent="0.25">
      <c r="A164" s="254"/>
      <c r="B164" s="256"/>
      <c r="D164" s="187"/>
      <c r="E164" s="187"/>
      <c r="F164" s="187"/>
      <c r="G164" s="187"/>
      <c r="H164" s="188"/>
      <c r="I164" s="188"/>
      <c r="J164" s="188"/>
      <c r="K164" s="188"/>
      <c r="L164" s="188"/>
      <c r="M164" s="253"/>
      <c r="N164" s="253"/>
      <c r="O164" s="186"/>
      <c r="Q164" s="184"/>
    </row>
    <row r="165" spans="1:17" s="183" customFormat="1" x14ac:dyDescent="0.25">
      <c r="A165" s="254"/>
      <c r="B165" s="256"/>
      <c r="D165" s="187"/>
      <c r="E165" s="187"/>
      <c r="F165" s="187"/>
      <c r="G165" s="187"/>
      <c r="H165" s="188"/>
      <c r="I165" s="188"/>
      <c r="J165" s="188"/>
      <c r="K165" s="188"/>
      <c r="L165" s="188"/>
      <c r="M165" s="253"/>
      <c r="N165" s="253"/>
      <c r="O165" s="186"/>
      <c r="Q165" s="184"/>
    </row>
    <row r="166" spans="1:17" s="183" customFormat="1" x14ac:dyDescent="0.25">
      <c r="A166" s="254"/>
      <c r="B166" s="256"/>
      <c r="D166" s="187"/>
      <c r="E166" s="187"/>
      <c r="F166" s="187"/>
      <c r="G166" s="187"/>
      <c r="H166" s="188"/>
      <c r="I166" s="188"/>
      <c r="J166" s="188"/>
      <c r="K166" s="188"/>
      <c r="L166" s="188"/>
      <c r="M166" s="253"/>
      <c r="N166" s="253"/>
      <c r="O166" s="186"/>
      <c r="Q166" s="184"/>
    </row>
    <row r="167" spans="1:17" s="183" customFormat="1" x14ac:dyDescent="0.25">
      <c r="A167" s="254"/>
      <c r="B167" s="256"/>
      <c r="D167" s="187"/>
      <c r="E167" s="187"/>
      <c r="F167" s="187"/>
      <c r="G167" s="187"/>
      <c r="H167" s="188"/>
      <c r="I167" s="188"/>
      <c r="J167" s="188"/>
      <c r="K167" s="188"/>
      <c r="L167" s="188"/>
      <c r="M167" s="253"/>
      <c r="N167" s="253"/>
      <c r="O167" s="186"/>
      <c r="Q167" s="184"/>
    </row>
    <row r="168" spans="1:17" s="183" customFormat="1" x14ac:dyDescent="0.25">
      <c r="A168" s="254"/>
      <c r="B168" s="256"/>
      <c r="D168" s="187"/>
      <c r="E168" s="187"/>
      <c r="F168" s="187"/>
      <c r="G168" s="187"/>
      <c r="H168" s="188"/>
      <c r="I168" s="188"/>
      <c r="J168" s="188"/>
      <c r="K168" s="188"/>
      <c r="L168" s="188"/>
      <c r="M168" s="253"/>
      <c r="N168" s="253"/>
      <c r="O168" s="186"/>
      <c r="Q168" s="184"/>
    </row>
    <row r="169" spans="1:17" s="183" customFormat="1" x14ac:dyDescent="0.25">
      <c r="A169" s="254"/>
      <c r="B169" s="256"/>
      <c r="D169" s="187"/>
      <c r="E169" s="187"/>
      <c r="F169" s="187"/>
      <c r="G169" s="187"/>
      <c r="H169" s="188"/>
      <c r="I169" s="188"/>
      <c r="J169" s="188"/>
      <c r="K169" s="188"/>
      <c r="L169" s="188"/>
      <c r="M169" s="253"/>
      <c r="N169" s="253"/>
      <c r="O169" s="186"/>
      <c r="Q169" s="184"/>
    </row>
    <row r="170" spans="1:17" s="183" customFormat="1" x14ac:dyDescent="0.25">
      <c r="A170" s="254"/>
      <c r="B170" s="256"/>
      <c r="D170" s="187"/>
      <c r="E170" s="187"/>
      <c r="F170" s="187"/>
      <c r="G170" s="187"/>
      <c r="H170" s="188"/>
      <c r="I170" s="188"/>
      <c r="J170" s="188"/>
      <c r="K170" s="188"/>
      <c r="L170" s="188"/>
      <c r="M170" s="253"/>
      <c r="N170" s="253"/>
      <c r="O170" s="186"/>
      <c r="Q170" s="184"/>
    </row>
    <row r="171" spans="1:17" s="183" customFormat="1" x14ac:dyDescent="0.25">
      <c r="A171" s="254"/>
      <c r="B171" s="256"/>
      <c r="D171" s="187"/>
      <c r="E171" s="187"/>
      <c r="F171" s="187"/>
      <c r="G171" s="187"/>
      <c r="H171" s="188"/>
      <c r="I171" s="188"/>
      <c r="J171" s="188"/>
      <c r="K171" s="188"/>
      <c r="L171" s="188"/>
      <c r="M171" s="253"/>
      <c r="N171" s="253"/>
      <c r="O171" s="186"/>
      <c r="Q171" s="184"/>
    </row>
    <row r="172" spans="1:17" s="183" customFormat="1" x14ac:dyDescent="0.25">
      <c r="A172" s="254"/>
      <c r="B172" s="256"/>
      <c r="D172" s="187"/>
      <c r="E172" s="187"/>
      <c r="F172" s="187"/>
      <c r="G172" s="187"/>
      <c r="H172" s="188"/>
      <c r="I172" s="188"/>
      <c r="J172" s="188"/>
      <c r="K172" s="188"/>
      <c r="L172" s="188"/>
      <c r="M172" s="253"/>
      <c r="N172" s="253"/>
      <c r="O172" s="186"/>
      <c r="Q172" s="184"/>
    </row>
    <row r="173" spans="1:17" s="183" customFormat="1" x14ac:dyDescent="0.25">
      <c r="A173" s="254"/>
      <c r="B173" s="256"/>
      <c r="D173" s="187"/>
      <c r="E173" s="187"/>
      <c r="F173" s="187"/>
      <c r="G173" s="187"/>
      <c r="H173" s="188"/>
      <c r="I173" s="188"/>
      <c r="J173" s="188"/>
      <c r="K173" s="188"/>
      <c r="L173" s="188"/>
      <c r="M173" s="253"/>
      <c r="N173" s="253"/>
      <c r="O173" s="186"/>
      <c r="Q173" s="184"/>
    </row>
    <row r="174" spans="1:17" s="183" customFormat="1" x14ac:dyDescent="0.25">
      <c r="A174" s="254"/>
      <c r="B174" s="256"/>
      <c r="D174" s="187"/>
      <c r="E174" s="187"/>
      <c r="F174" s="187"/>
      <c r="G174" s="187"/>
      <c r="H174" s="188"/>
      <c r="I174" s="188"/>
      <c r="J174" s="188"/>
      <c r="K174" s="188"/>
      <c r="L174" s="188"/>
      <c r="M174" s="253"/>
      <c r="N174" s="253"/>
      <c r="O174" s="186"/>
      <c r="Q174" s="184"/>
    </row>
    <row r="175" spans="1:17" s="183" customFormat="1" x14ac:dyDescent="0.25">
      <c r="A175" s="254"/>
      <c r="B175" s="256"/>
      <c r="D175" s="187"/>
      <c r="E175" s="187"/>
      <c r="F175" s="187"/>
      <c r="G175" s="187"/>
      <c r="H175" s="188"/>
      <c r="I175" s="188"/>
      <c r="J175" s="188"/>
      <c r="K175" s="188"/>
      <c r="L175" s="188"/>
      <c r="M175" s="253"/>
      <c r="N175" s="253"/>
      <c r="O175" s="186"/>
      <c r="Q175" s="184"/>
    </row>
    <row r="176" spans="1:17" s="183" customFormat="1" x14ac:dyDescent="0.25">
      <c r="A176" s="254"/>
      <c r="B176" s="256"/>
      <c r="D176" s="187"/>
      <c r="E176" s="187"/>
      <c r="F176" s="187"/>
      <c r="G176" s="187"/>
      <c r="H176" s="188"/>
      <c r="I176" s="188"/>
      <c r="J176" s="188"/>
      <c r="K176" s="188"/>
      <c r="L176" s="188"/>
      <c r="M176" s="253"/>
      <c r="N176" s="253"/>
      <c r="O176" s="186"/>
      <c r="Q176" s="184"/>
    </row>
    <row r="177" spans="1:17" s="183" customFormat="1" x14ac:dyDescent="0.25">
      <c r="A177" s="254"/>
      <c r="B177" s="256"/>
      <c r="D177" s="187"/>
      <c r="E177" s="187"/>
      <c r="F177" s="187"/>
      <c r="G177" s="187"/>
      <c r="H177" s="188"/>
      <c r="I177" s="188"/>
      <c r="J177" s="188"/>
      <c r="K177" s="188"/>
      <c r="L177" s="188"/>
      <c r="M177" s="253"/>
      <c r="N177" s="253"/>
      <c r="O177" s="186"/>
      <c r="Q177" s="184"/>
    </row>
    <row r="178" spans="1:17" s="183" customFormat="1" x14ac:dyDescent="0.25">
      <c r="A178" s="254"/>
      <c r="B178" s="256"/>
      <c r="D178" s="187"/>
      <c r="E178" s="187"/>
      <c r="F178" s="187"/>
      <c r="G178" s="187"/>
      <c r="H178" s="188"/>
      <c r="I178" s="188"/>
      <c r="J178" s="188"/>
      <c r="K178" s="188"/>
      <c r="L178" s="188"/>
      <c r="M178" s="253"/>
      <c r="N178" s="253"/>
      <c r="O178" s="186"/>
      <c r="Q178" s="184"/>
    </row>
    <row r="179" spans="1:17" s="183" customFormat="1" x14ac:dyDescent="0.25">
      <c r="A179" s="254"/>
      <c r="B179" s="256"/>
      <c r="D179" s="187"/>
      <c r="E179" s="187"/>
      <c r="F179" s="187"/>
      <c r="G179" s="187"/>
      <c r="H179" s="188"/>
      <c r="I179" s="188"/>
      <c r="J179" s="188"/>
      <c r="K179" s="188"/>
      <c r="L179" s="188"/>
      <c r="M179" s="253"/>
      <c r="N179" s="253"/>
      <c r="O179" s="186"/>
      <c r="Q179" s="184"/>
    </row>
    <row r="180" spans="1:17" s="183" customFormat="1" x14ac:dyDescent="0.25">
      <c r="A180" s="254"/>
      <c r="B180" s="256"/>
      <c r="D180" s="187"/>
      <c r="E180" s="187"/>
      <c r="F180" s="187"/>
      <c r="G180" s="187"/>
      <c r="H180" s="188"/>
      <c r="I180" s="188"/>
      <c r="J180" s="188"/>
      <c r="K180" s="188"/>
      <c r="L180" s="188"/>
      <c r="M180" s="253"/>
      <c r="N180" s="253"/>
      <c r="O180" s="186"/>
      <c r="Q180" s="184"/>
    </row>
    <row r="181" spans="1:17" s="183" customFormat="1" x14ac:dyDescent="0.25">
      <c r="A181" s="254"/>
      <c r="B181" s="256"/>
      <c r="D181" s="187"/>
      <c r="E181" s="187"/>
      <c r="F181" s="187"/>
      <c r="G181" s="187"/>
      <c r="H181" s="188"/>
      <c r="I181" s="188"/>
      <c r="J181" s="188"/>
      <c r="K181" s="188"/>
      <c r="L181" s="188"/>
      <c r="M181" s="253"/>
      <c r="N181" s="253"/>
      <c r="O181" s="186"/>
      <c r="Q181" s="184"/>
    </row>
    <row r="182" spans="1:17" s="183" customFormat="1" x14ac:dyDescent="0.25">
      <c r="A182" s="254"/>
      <c r="B182" s="256"/>
      <c r="D182" s="187"/>
      <c r="E182" s="187"/>
      <c r="F182" s="187"/>
      <c r="G182" s="187"/>
      <c r="H182" s="188"/>
      <c r="I182" s="188"/>
      <c r="J182" s="188"/>
      <c r="K182" s="188"/>
      <c r="L182" s="188"/>
      <c r="M182" s="253"/>
      <c r="N182" s="253"/>
      <c r="O182" s="186"/>
      <c r="Q182" s="184"/>
    </row>
    <row r="183" spans="1:17" s="183" customFormat="1" x14ac:dyDescent="0.25">
      <c r="A183" s="254"/>
      <c r="B183" s="256"/>
      <c r="D183" s="187"/>
      <c r="E183" s="187"/>
      <c r="F183" s="187"/>
      <c r="G183" s="187"/>
      <c r="H183" s="188"/>
      <c r="I183" s="188"/>
      <c r="J183" s="188"/>
      <c r="K183" s="188"/>
      <c r="L183" s="188"/>
      <c r="M183" s="253"/>
      <c r="N183" s="253"/>
      <c r="O183" s="186"/>
      <c r="Q183" s="184"/>
    </row>
    <row r="184" spans="1:17" s="183" customFormat="1" x14ac:dyDescent="0.25">
      <c r="A184" s="254"/>
      <c r="B184" s="256"/>
      <c r="D184" s="187"/>
      <c r="E184" s="187"/>
      <c r="F184" s="187"/>
      <c r="G184" s="187"/>
      <c r="H184" s="188"/>
      <c r="I184" s="188"/>
      <c r="J184" s="188"/>
      <c r="K184" s="188"/>
      <c r="L184" s="188"/>
      <c r="M184" s="253"/>
      <c r="N184" s="253"/>
      <c r="O184" s="186"/>
      <c r="Q184" s="184"/>
    </row>
    <row r="185" spans="1:17" s="183" customFormat="1" x14ac:dyDescent="0.25">
      <c r="A185" s="254"/>
      <c r="B185" s="256"/>
      <c r="D185" s="187"/>
      <c r="E185" s="187"/>
      <c r="F185" s="187"/>
      <c r="G185" s="187"/>
      <c r="H185" s="188"/>
      <c r="I185" s="188"/>
      <c r="J185" s="188"/>
      <c r="K185" s="188"/>
      <c r="L185" s="188"/>
      <c r="M185" s="253"/>
      <c r="N185" s="253"/>
      <c r="O185" s="186"/>
      <c r="Q185" s="184"/>
    </row>
    <row r="186" spans="1:17" s="183" customFormat="1" x14ac:dyDescent="0.25">
      <c r="A186" s="254"/>
      <c r="B186" s="256"/>
      <c r="D186" s="187"/>
      <c r="E186" s="187"/>
      <c r="F186" s="187"/>
      <c r="G186" s="187"/>
      <c r="H186" s="188"/>
      <c r="I186" s="188"/>
      <c r="J186" s="188"/>
      <c r="K186" s="188"/>
      <c r="L186" s="188"/>
      <c r="M186" s="253"/>
      <c r="N186" s="253"/>
      <c r="O186" s="186"/>
      <c r="Q186" s="184"/>
    </row>
    <row r="187" spans="1:17" s="183" customFormat="1" x14ac:dyDescent="0.25">
      <c r="A187" s="254"/>
      <c r="B187" s="256"/>
      <c r="D187" s="187"/>
      <c r="E187" s="187"/>
      <c r="F187" s="187"/>
      <c r="G187" s="187"/>
      <c r="H187" s="188"/>
      <c r="I187" s="188"/>
      <c r="J187" s="188"/>
      <c r="K187" s="188"/>
      <c r="L187" s="188"/>
      <c r="M187" s="253"/>
      <c r="N187" s="253"/>
      <c r="O187" s="186"/>
      <c r="Q187" s="184"/>
    </row>
    <row r="188" spans="1:17" s="183" customFormat="1" x14ac:dyDescent="0.25">
      <c r="A188" s="254"/>
      <c r="B188" s="256"/>
      <c r="D188" s="187"/>
      <c r="E188" s="187"/>
      <c r="F188" s="187"/>
      <c r="G188" s="187"/>
      <c r="H188" s="188"/>
      <c r="I188" s="188"/>
      <c r="J188" s="188"/>
      <c r="K188" s="188"/>
      <c r="L188" s="188"/>
      <c r="M188" s="253"/>
      <c r="N188" s="253"/>
      <c r="O188" s="186"/>
      <c r="Q188" s="184"/>
    </row>
    <row r="189" spans="1:17" s="183" customFormat="1" x14ac:dyDescent="0.25">
      <c r="A189" s="254"/>
      <c r="B189" s="256"/>
      <c r="D189" s="187"/>
      <c r="E189" s="187"/>
      <c r="F189" s="187"/>
      <c r="G189" s="187"/>
      <c r="H189" s="188"/>
      <c r="I189" s="188"/>
      <c r="J189" s="188"/>
      <c r="K189" s="188"/>
      <c r="L189" s="188"/>
      <c r="M189" s="253"/>
      <c r="N189" s="253"/>
      <c r="O189" s="186"/>
      <c r="Q189" s="184"/>
    </row>
    <row r="190" spans="1:17" s="183" customFormat="1" x14ac:dyDescent="0.25">
      <c r="A190" s="254"/>
      <c r="B190" s="256"/>
      <c r="D190" s="187"/>
      <c r="E190" s="187"/>
      <c r="F190" s="187"/>
      <c r="G190" s="187"/>
      <c r="H190" s="188"/>
      <c r="I190" s="188"/>
      <c r="J190" s="188"/>
      <c r="K190" s="188"/>
      <c r="L190" s="188"/>
      <c r="M190" s="253"/>
      <c r="N190" s="253"/>
      <c r="O190" s="186"/>
      <c r="Q190" s="184"/>
    </row>
    <row r="191" spans="1:17" s="183" customFormat="1" x14ac:dyDescent="0.25">
      <c r="A191" s="254"/>
      <c r="B191" s="256"/>
      <c r="D191" s="187"/>
      <c r="E191" s="187"/>
      <c r="F191" s="187"/>
      <c r="G191" s="187"/>
      <c r="H191" s="188"/>
      <c r="I191" s="188"/>
      <c r="J191" s="188"/>
      <c r="K191" s="188"/>
      <c r="L191" s="188"/>
      <c r="M191" s="253"/>
      <c r="N191" s="253"/>
      <c r="O191" s="186"/>
      <c r="Q191" s="184"/>
    </row>
    <row r="192" spans="1:17" s="183" customFormat="1" x14ac:dyDescent="0.25">
      <c r="A192" s="254"/>
      <c r="B192" s="256"/>
      <c r="D192" s="187"/>
      <c r="E192" s="187"/>
      <c r="F192" s="187"/>
      <c r="G192" s="187"/>
      <c r="H192" s="188"/>
      <c r="I192" s="188"/>
      <c r="J192" s="188"/>
      <c r="K192" s="188"/>
      <c r="L192" s="188"/>
      <c r="M192" s="253"/>
      <c r="N192" s="253"/>
      <c r="O192" s="186"/>
      <c r="Q192" s="184"/>
    </row>
    <row r="193" spans="1:17" s="183" customFormat="1" x14ac:dyDescent="0.25">
      <c r="A193" s="254"/>
      <c r="B193" s="256"/>
      <c r="D193" s="187"/>
      <c r="E193" s="187"/>
      <c r="F193" s="187"/>
      <c r="G193" s="187"/>
      <c r="H193" s="188"/>
      <c r="I193" s="188"/>
      <c r="J193" s="188"/>
      <c r="K193" s="188"/>
      <c r="L193" s="188"/>
      <c r="M193" s="253"/>
      <c r="N193" s="253"/>
      <c r="O193" s="186"/>
      <c r="Q193" s="184"/>
    </row>
    <row r="194" spans="1:17" s="183" customFormat="1" x14ac:dyDescent="0.25">
      <c r="A194" s="254"/>
      <c r="B194" s="256"/>
      <c r="D194" s="187"/>
      <c r="E194" s="187"/>
      <c r="F194" s="187"/>
      <c r="G194" s="187"/>
      <c r="H194" s="188"/>
      <c r="I194" s="188"/>
      <c r="J194" s="188"/>
      <c r="K194" s="188"/>
      <c r="L194" s="188"/>
      <c r="M194" s="253"/>
      <c r="N194" s="253"/>
      <c r="O194" s="186"/>
      <c r="Q194" s="184"/>
    </row>
    <row r="195" spans="1:17" s="183" customFormat="1" x14ac:dyDescent="0.25">
      <c r="A195" s="254"/>
      <c r="B195" s="256"/>
      <c r="D195" s="187"/>
      <c r="E195" s="187"/>
      <c r="F195" s="187"/>
      <c r="G195" s="187"/>
      <c r="H195" s="188"/>
      <c r="I195" s="188"/>
      <c r="J195" s="188"/>
      <c r="K195" s="188"/>
      <c r="L195" s="188"/>
      <c r="M195" s="253"/>
      <c r="N195" s="253"/>
      <c r="O195" s="186"/>
      <c r="Q195" s="184"/>
    </row>
    <row r="196" spans="1:17" s="183" customFormat="1" x14ac:dyDescent="0.25">
      <c r="A196" s="254"/>
      <c r="B196" s="256"/>
      <c r="D196" s="187"/>
      <c r="E196" s="187"/>
      <c r="F196" s="187"/>
      <c r="G196" s="187"/>
      <c r="H196" s="188"/>
      <c r="I196" s="188"/>
      <c r="J196" s="188"/>
      <c r="K196" s="188"/>
      <c r="L196" s="188"/>
      <c r="M196" s="253"/>
      <c r="N196" s="253"/>
      <c r="O196" s="186"/>
      <c r="Q196" s="184"/>
    </row>
    <row r="197" spans="1:17" s="183" customFormat="1" x14ac:dyDescent="0.25">
      <c r="A197" s="254"/>
      <c r="B197" s="256"/>
      <c r="D197" s="187"/>
      <c r="E197" s="187"/>
      <c r="F197" s="187"/>
      <c r="G197" s="187"/>
      <c r="H197" s="188"/>
      <c r="I197" s="188"/>
      <c r="J197" s="188"/>
      <c r="K197" s="188"/>
      <c r="L197" s="188"/>
      <c r="M197" s="253"/>
      <c r="N197" s="253"/>
      <c r="O197" s="186"/>
      <c r="Q197" s="184"/>
    </row>
    <row r="198" spans="1:17" s="183" customFormat="1" x14ac:dyDescent="0.25">
      <c r="A198" s="254"/>
      <c r="B198" s="256"/>
      <c r="D198" s="187"/>
      <c r="E198" s="187"/>
      <c r="F198" s="187"/>
      <c r="G198" s="187"/>
      <c r="H198" s="188"/>
      <c r="I198" s="188"/>
      <c r="J198" s="188"/>
      <c r="K198" s="188"/>
      <c r="L198" s="188"/>
      <c r="M198" s="253"/>
      <c r="N198" s="253"/>
      <c r="O198" s="186"/>
      <c r="Q198" s="184"/>
    </row>
    <row r="199" spans="1:17" s="183" customFormat="1" x14ac:dyDescent="0.25">
      <c r="A199" s="254"/>
      <c r="B199" s="256"/>
      <c r="D199" s="187"/>
      <c r="E199" s="187"/>
      <c r="F199" s="187"/>
      <c r="G199" s="187"/>
      <c r="H199" s="188"/>
      <c r="I199" s="188"/>
      <c r="J199" s="188"/>
      <c r="K199" s="188"/>
      <c r="L199" s="188"/>
      <c r="M199" s="253"/>
      <c r="N199" s="253"/>
      <c r="O199" s="186"/>
      <c r="Q199" s="184"/>
    </row>
    <row r="200" spans="1:17" s="183" customFormat="1" x14ac:dyDescent="0.25">
      <c r="A200" s="254"/>
      <c r="B200" s="256"/>
      <c r="D200" s="187"/>
      <c r="E200" s="187"/>
      <c r="F200" s="187"/>
      <c r="G200" s="187"/>
      <c r="H200" s="188"/>
      <c r="I200" s="188"/>
      <c r="J200" s="188"/>
      <c r="K200" s="188"/>
      <c r="L200" s="188"/>
      <c r="M200" s="253"/>
      <c r="N200" s="253"/>
      <c r="O200" s="186"/>
      <c r="Q200" s="184"/>
    </row>
    <row r="201" spans="1:17" s="183" customFormat="1" x14ac:dyDescent="0.25">
      <c r="A201" s="254"/>
      <c r="B201" s="256"/>
      <c r="D201" s="187"/>
      <c r="E201" s="187"/>
      <c r="F201" s="187"/>
      <c r="G201" s="187"/>
      <c r="H201" s="188"/>
      <c r="I201" s="188"/>
      <c r="J201" s="188"/>
      <c r="K201" s="188"/>
      <c r="L201" s="188"/>
      <c r="M201" s="253"/>
      <c r="N201" s="253"/>
      <c r="O201" s="186"/>
      <c r="Q201" s="184"/>
    </row>
    <row r="202" spans="1:17" s="183" customFormat="1" x14ac:dyDescent="0.25">
      <c r="A202" s="254"/>
      <c r="B202" s="256"/>
      <c r="D202" s="187"/>
      <c r="E202" s="187"/>
      <c r="F202" s="187"/>
      <c r="G202" s="187"/>
      <c r="H202" s="188"/>
      <c r="I202" s="188"/>
      <c r="J202" s="188"/>
      <c r="K202" s="188"/>
      <c r="L202" s="188"/>
      <c r="M202" s="253"/>
      <c r="N202" s="253"/>
      <c r="O202" s="186"/>
      <c r="Q202" s="184"/>
    </row>
    <row r="203" spans="1:17" s="183" customFormat="1" x14ac:dyDescent="0.25">
      <c r="A203" s="254"/>
      <c r="B203" s="256"/>
      <c r="D203" s="187"/>
      <c r="E203" s="187"/>
      <c r="F203" s="187"/>
      <c r="G203" s="187"/>
      <c r="H203" s="188"/>
      <c r="I203" s="188"/>
      <c r="J203" s="188"/>
      <c r="K203" s="188"/>
      <c r="L203" s="188"/>
      <c r="M203" s="253"/>
      <c r="N203" s="253"/>
      <c r="O203" s="186"/>
      <c r="Q203" s="184"/>
    </row>
    <row r="204" spans="1:17" s="183" customFormat="1" x14ac:dyDescent="0.25">
      <c r="A204" s="254"/>
      <c r="B204" s="256"/>
      <c r="D204" s="187"/>
      <c r="E204" s="187"/>
      <c r="F204" s="187"/>
      <c r="G204" s="187"/>
      <c r="H204" s="188"/>
      <c r="I204" s="188"/>
      <c r="J204" s="188"/>
      <c r="K204" s="188"/>
      <c r="L204" s="188"/>
      <c r="M204" s="253"/>
      <c r="N204" s="253"/>
      <c r="O204" s="186"/>
      <c r="Q204" s="184"/>
    </row>
    <row r="205" spans="1:17" s="183" customFormat="1" x14ac:dyDescent="0.25">
      <c r="A205" s="254"/>
      <c r="B205" s="256"/>
      <c r="D205" s="187"/>
      <c r="E205" s="187"/>
      <c r="F205" s="187"/>
      <c r="G205" s="187"/>
      <c r="H205" s="188"/>
      <c r="I205" s="188"/>
      <c r="J205" s="188"/>
      <c r="K205" s="188"/>
      <c r="L205" s="188"/>
      <c r="M205" s="253"/>
      <c r="N205" s="253"/>
      <c r="O205" s="186"/>
      <c r="Q205" s="184"/>
    </row>
    <row r="206" spans="1:17" s="183" customFormat="1" x14ac:dyDescent="0.25">
      <c r="A206" s="254"/>
      <c r="B206" s="256"/>
      <c r="D206" s="187"/>
      <c r="E206" s="187"/>
      <c r="F206" s="187"/>
      <c r="G206" s="187"/>
      <c r="H206" s="188"/>
      <c r="I206" s="188"/>
      <c r="J206" s="188"/>
      <c r="K206" s="188"/>
      <c r="L206" s="188"/>
      <c r="M206" s="253"/>
      <c r="N206" s="253"/>
      <c r="O206" s="186"/>
      <c r="Q206" s="184"/>
    </row>
    <row r="207" spans="1:17" s="183" customFormat="1" x14ac:dyDescent="0.25">
      <c r="A207" s="254"/>
      <c r="B207" s="256"/>
      <c r="D207" s="187"/>
      <c r="E207" s="187"/>
      <c r="F207" s="187"/>
      <c r="G207" s="187"/>
      <c r="H207" s="188"/>
      <c r="I207" s="188"/>
      <c r="J207" s="188"/>
      <c r="K207" s="188"/>
      <c r="L207" s="188"/>
      <c r="M207" s="253"/>
      <c r="N207" s="253"/>
      <c r="O207" s="186"/>
      <c r="Q207" s="184"/>
    </row>
    <row r="208" spans="1:17" s="183" customFormat="1" x14ac:dyDescent="0.25">
      <c r="A208" s="254"/>
      <c r="B208" s="256"/>
      <c r="D208" s="187"/>
      <c r="E208" s="187"/>
      <c r="F208" s="187"/>
      <c r="G208" s="187"/>
      <c r="H208" s="188"/>
      <c r="I208" s="188"/>
      <c r="J208" s="188"/>
      <c r="K208" s="188"/>
      <c r="L208" s="188"/>
      <c r="M208" s="253"/>
      <c r="N208" s="253"/>
      <c r="O208" s="186"/>
      <c r="Q208" s="184"/>
    </row>
    <row r="209" spans="1:17" s="183" customFormat="1" x14ac:dyDescent="0.25">
      <c r="A209" s="254"/>
      <c r="B209" s="256"/>
      <c r="D209" s="187"/>
      <c r="E209" s="187"/>
      <c r="F209" s="187"/>
      <c r="G209" s="187"/>
      <c r="H209" s="188"/>
      <c r="I209" s="188"/>
      <c r="J209" s="188"/>
      <c r="K209" s="188"/>
      <c r="L209" s="188"/>
      <c r="M209" s="253"/>
      <c r="N209" s="253"/>
      <c r="O209" s="186"/>
      <c r="Q209" s="184"/>
    </row>
    <row r="210" spans="1:17" s="183" customFormat="1" x14ac:dyDescent="0.25">
      <c r="A210" s="254"/>
      <c r="B210" s="256"/>
      <c r="D210" s="187"/>
      <c r="E210" s="187"/>
      <c r="F210" s="187"/>
      <c r="G210" s="187"/>
      <c r="H210" s="188"/>
      <c r="I210" s="188"/>
      <c r="J210" s="188"/>
      <c r="K210" s="188"/>
      <c r="L210" s="188"/>
      <c r="M210" s="253"/>
      <c r="N210" s="253"/>
      <c r="O210" s="186"/>
      <c r="Q210" s="184"/>
    </row>
    <row r="211" spans="1:17" s="183" customFormat="1" x14ac:dyDescent="0.25">
      <c r="A211" s="254"/>
      <c r="B211" s="256"/>
      <c r="D211" s="187"/>
      <c r="E211" s="187"/>
      <c r="F211" s="187"/>
      <c r="G211" s="187"/>
      <c r="H211" s="188"/>
      <c r="I211" s="188"/>
      <c r="J211" s="188"/>
      <c r="K211" s="188"/>
      <c r="L211" s="188"/>
      <c r="M211" s="253"/>
      <c r="N211" s="253"/>
      <c r="O211" s="186"/>
      <c r="Q211" s="184"/>
    </row>
    <row r="212" spans="1:17" s="183" customFormat="1" x14ac:dyDescent="0.25">
      <c r="A212" s="254"/>
      <c r="B212" s="256"/>
      <c r="D212" s="187"/>
      <c r="E212" s="187"/>
      <c r="F212" s="187"/>
      <c r="G212" s="187"/>
      <c r="H212" s="188"/>
      <c r="I212" s="188"/>
      <c r="J212" s="188"/>
      <c r="K212" s="188"/>
      <c r="L212" s="188"/>
      <c r="M212" s="253"/>
      <c r="N212" s="253"/>
      <c r="O212" s="186"/>
      <c r="Q212" s="184"/>
    </row>
    <row r="213" spans="1:17" s="183" customFormat="1" x14ac:dyDescent="0.25">
      <c r="A213" s="254"/>
      <c r="B213" s="256"/>
      <c r="D213" s="187"/>
      <c r="E213" s="187"/>
      <c r="F213" s="187"/>
      <c r="G213" s="187"/>
      <c r="H213" s="188"/>
      <c r="I213" s="188"/>
      <c r="J213" s="188"/>
      <c r="K213" s="188"/>
      <c r="L213" s="188"/>
      <c r="M213" s="253"/>
      <c r="N213" s="253"/>
      <c r="O213" s="186"/>
      <c r="Q213" s="184"/>
    </row>
    <row r="214" spans="1:17" s="183" customFormat="1" x14ac:dyDescent="0.25">
      <c r="A214" s="254"/>
      <c r="B214" s="256"/>
      <c r="D214" s="187"/>
      <c r="E214" s="187"/>
      <c r="F214" s="187"/>
      <c r="G214" s="187"/>
      <c r="H214" s="188"/>
      <c r="I214" s="188"/>
      <c r="J214" s="188"/>
      <c r="K214" s="188"/>
      <c r="L214" s="188"/>
      <c r="M214" s="253"/>
      <c r="N214" s="253"/>
      <c r="O214" s="186"/>
      <c r="Q214" s="184"/>
    </row>
    <row r="215" spans="1:17" s="183" customFormat="1" x14ac:dyDescent="0.25">
      <c r="A215" s="254"/>
      <c r="B215" s="256"/>
      <c r="D215" s="187"/>
      <c r="E215" s="187"/>
      <c r="F215" s="187"/>
      <c r="G215" s="187"/>
      <c r="H215" s="188"/>
      <c r="I215" s="188"/>
      <c r="J215" s="188"/>
      <c r="K215" s="188"/>
      <c r="L215" s="188"/>
      <c r="M215" s="253"/>
      <c r="N215" s="253"/>
      <c r="O215" s="186"/>
      <c r="Q215" s="184"/>
    </row>
    <row r="216" spans="1:17" s="183" customFormat="1" x14ac:dyDescent="0.25">
      <c r="A216" s="254"/>
      <c r="B216" s="256"/>
      <c r="D216" s="187"/>
      <c r="E216" s="187"/>
      <c r="F216" s="187"/>
      <c r="G216" s="187"/>
      <c r="H216" s="188"/>
      <c r="I216" s="188"/>
      <c r="J216" s="188"/>
      <c r="K216" s="188"/>
      <c r="L216" s="188"/>
      <c r="M216" s="253"/>
      <c r="N216" s="253"/>
      <c r="O216" s="186"/>
      <c r="Q216" s="184"/>
    </row>
    <row r="217" spans="1:17" s="183" customFormat="1" x14ac:dyDescent="0.25">
      <c r="A217" s="254"/>
      <c r="B217" s="256"/>
      <c r="D217" s="187"/>
      <c r="E217" s="187"/>
      <c r="F217" s="187"/>
      <c r="G217" s="187"/>
      <c r="H217" s="188"/>
      <c r="I217" s="188"/>
      <c r="J217" s="188"/>
      <c r="K217" s="188"/>
      <c r="L217" s="188"/>
      <c r="M217" s="253"/>
      <c r="N217" s="253"/>
      <c r="O217" s="186"/>
      <c r="Q217" s="184"/>
    </row>
    <row r="218" spans="1:17" s="183" customFormat="1" x14ac:dyDescent="0.25">
      <c r="A218" s="254"/>
      <c r="B218" s="256"/>
      <c r="D218" s="187"/>
      <c r="E218" s="187"/>
      <c r="F218" s="187"/>
      <c r="G218" s="187"/>
      <c r="H218" s="188"/>
      <c r="I218" s="188"/>
      <c r="J218" s="188"/>
      <c r="K218" s="188"/>
      <c r="L218" s="188"/>
      <c r="M218" s="253"/>
      <c r="N218" s="253"/>
      <c r="O218" s="186"/>
      <c r="Q218" s="184"/>
    </row>
    <row r="219" spans="1:17" s="183" customFormat="1" x14ac:dyDescent="0.25">
      <c r="A219" s="254"/>
      <c r="B219" s="256"/>
      <c r="D219" s="187"/>
      <c r="E219" s="187"/>
      <c r="F219" s="187"/>
      <c r="G219" s="187"/>
      <c r="H219" s="188"/>
      <c r="I219" s="188"/>
      <c r="J219" s="188"/>
      <c r="K219" s="188"/>
      <c r="L219" s="188"/>
      <c r="M219" s="253"/>
      <c r="N219" s="253"/>
      <c r="O219" s="186"/>
      <c r="Q219" s="184"/>
    </row>
    <row r="220" spans="1:17" s="183" customFormat="1" x14ac:dyDescent="0.25">
      <c r="A220" s="254"/>
      <c r="B220" s="256"/>
      <c r="D220" s="187"/>
      <c r="E220" s="187"/>
      <c r="F220" s="187"/>
      <c r="G220" s="187"/>
      <c r="H220" s="188"/>
      <c r="I220" s="188"/>
      <c r="J220" s="188"/>
      <c r="K220" s="188"/>
      <c r="L220" s="188"/>
      <c r="M220" s="253"/>
      <c r="N220" s="253"/>
      <c r="O220" s="186"/>
      <c r="Q220" s="184"/>
    </row>
    <row r="221" spans="1:17" s="183" customFormat="1" x14ac:dyDescent="0.25">
      <c r="A221" s="254"/>
      <c r="B221" s="256"/>
      <c r="D221" s="187"/>
      <c r="E221" s="187"/>
      <c r="F221" s="187"/>
      <c r="G221" s="187"/>
      <c r="H221" s="188"/>
      <c r="I221" s="188"/>
      <c r="J221" s="188"/>
      <c r="K221" s="188"/>
      <c r="L221" s="188"/>
      <c r="M221" s="253"/>
      <c r="N221" s="253"/>
      <c r="O221" s="186"/>
      <c r="Q221" s="184"/>
    </row>
    <row r="222" spans="1:17" s="183" customFormat="1" x14ac:dyDescent="0.25">
      <c r="A222" s="254"/>
      <c r="B222" s="256"/>
      <c r="D222" s="187"/>
      <c r="E222" s="187"/>
      <c r="F222" s="187"/>
      <c r="G222" s="187"/>
      <c r="H222" s="188"/>
      <c r="I222" s="188"/>
      <c r="J222" s="188"/>
      <c r="K222" s="188"/>
      <c r="L222" s="188"/>
      <c r="M222" s="253"/>
      <c r="N222" s="253"/>
      <c r="O222" s="186"/>
      <c r="Q222" s="184"/>
    </row>
    <row r="223" spans="1:17" s="183" customFormat="1" x14ac:dyDescent="0.25">
      <c r="A223" s="254"/>
      <c r="B223" s="256"/>
      <c r="D223" s="187"/>
      <c r="E223" s="187"/>
      <c r="F223" s="187"/>
      <c r="G223" s="187"/>
      <c r="H223" s="188"/>
      <c r="I223" s="188"/>
      <c r="J223" s="188"/>
      <c r="K223" s="188"/>
      <c r="L223" s="188"/>
      <c r="M223" s="253"/>
      <c r="N223" s="253"/>
      <c r="O223" s="186"/>
      <c r="Q223" s="184"/>
    </row>
    <row r="224" spans="1:17" s="183" customFormat="1" x14ac:dyDescent="0.25">
      <c r="A224" s="254"/>
      <c r="B224" s="256"/>
      <c r="D224" s="187"/>
      <c r="E224" s="187"/>
      <c r="F224" s="187"/>
      <c r="G224" s="187"/>
      <c r="H224" s="188"/>
      <c r="I224" s="188"/>
      <c r="J224" s="188"/>
      <c r="K224" s="188"/>
      <c r="L224" s="188"/>
      <c r="M224" s="253"/>
      <c r="N224" s="253"/>
      <c r="O224" s="186"/>
      <c r="Q224" s="184"/>
    </row>
    <row r="225" spans="1:17" s="183" customFormat="1" x14ac:dyDescent="0.25">
      <c r="A225" s="254"/>
      <c r="B225" s="256"/>
      <c r="D225" s="187"/>
      <c r="E225" s="187"/>
      <c r="F225" s="187"/>
      <c r="G225" s="187"/>
      <c r="H225" s="188"/>
      <c r="I225" s="188"/>
      <c r="J225" s="188"/>
      <c r="K225" s="188"/>
      <c r="L225" s="188"/>
      <c r="M225" s="253"/>
      <c r="N225" s="253"/>
      <c r="O225" s="186"/>
      <c r="Q225" s="184"/>
    </row>
    <row r="226" spans="1:17" s="183" customFormat="1" x14ac:dyDescent="0.25">
      <c r="A226" s="254"/>
      <c r="B226" s="256"/>
      <c r="D226" s="187"/>
      <c r="E226" s="187"/>
      <c r="F226" s="187"/>
      <c r="G226" s="187"/>
      <c r="H226" s="188"/>
      <c r="I226" s="188"/>
      <c r="J226" s="188"/>
      <c r="K226" s="188"/>
      <c r="L226" s="188"/>
      <c r="M226" s="253"/>
      <c r="N226" s="253"/>
      <c r="O226" s="186"/>
      <c r="Q226" s="184"/>
    </row>
    <row r="227" spans="1:17" s="183" customFormat="1" x14ac:dyDescent="0.25">
      <c r="A227" s="254"/>
      <c r="B227" s="256"/>
      <c r="D227" s="187"/>
      <c r="E227" s="187"/>
      <c r="F227" s="187"/>
      <c r="G227" s="187"/>
      <c r="H227" s="188"/>
      <c r="I227" s="188"/>
      <c r="J227" s="188"/>
      <c r="K227" s="188"/>
      <c r="L227" s="188"/>
      <c r="M227" s="253"/>
      <c r="N227" s="253"/>
      <c r="O227" s="186"/>
      <c r="Q227" s="184"/>
    </row>
    <row r="228" spans="1:17" s="183" customFormat="1" x14ac:dyDescent="0.25">
      <c r="A228" s="254"/>
      <c r="B228" s="256"/>
      <c r="D228" s="187"/>
      <c r="E228" s="187"/>
      <c r="F228" s="187"/>
      <c r="G228" s="187"/>
      <c r="H228" s="188"/>
      <c r="I228" s="188"/>
      <c r="J228" s="188"/>
      <c r="K228" s="188"/>
      <c r="L228" s="188"/>
      <c r="M228" s="253"/>
      <c r="N228" s="253"/>
      <c r="O228" s="186"/>
      <c r="Q228" s="184"/>
    </row>
    <row r="229" spans="1:17" s="183" customFormat="1" x14ac:dyDescent="0.25">
      <c r="A229" s="254"/>
      <c r="B229" s="256"/>
      <c r="D229" s="187"/>
      <c r="E229" s="187"/>
      <c r="F229" s="187"/>
      <c r="G229" s="187"/>
      <c r="H229" s="188"/>
      <c r="I229" s="188"/>
      <c r="J229" s="188"/>
      <c r="K229" s="188"/>
      <c r="L229" s="188"/>
      <c r="M229" s="253"/>
      <c r="N229" s="253"/>
      <c r="O229" s="186"/>
      <c r="Q229" s="184"/>
    </row>
    <row r="230" spans="1:17" s="183" customFormat="1" x14ac:dyDescent="0.25">
      <c r="A230" s="254"/>
      <c r="B230" s="256"/>
      <c r="D230" s="187"/>
      <c r="E230" s="187"/>
      <c r="F230" s="187"/>
      <c r="G230" s="187"/>
      <c r="H230" s="188"/>
      <c r="I230" s="188"/>
      <c r="J230" s="188"/>
      <c r="K230" s="188"/>
      <c r="L230" s="188"/>
      <c r="M230" s="253"/>
      <c r="N230" s="253"/>
      <c r="O230" s="186"/>
      <c r="Q230" s="184"/>
    </row>
    <row r="231" spans="1:17" s="183" customFormat="1" x14ac:dyDescent="0.25">
      <c r="A231" s="254"/>
      <c r="B231" s="256"/>
      <c r="D231" s="187"/>
      <c r="E231" s="187"/>
      <c r="F231" s="187"/>
      <c r="G231" s="187"/>
      <c r="H231" s="188"/>
      <c r="I231" s="188"/>
      <c r="J231" s="188"/>
      <c r="K231" s="188"/>
      <c r="L231" s="188"/>
      <c r="M231" s="253"/>
      <c r="N231" s="253"/>
      <c r="O231" s="186"/>
      <c r="Q231" s="184"/>
    </row>
    <row r="232" spans="1:17" s="183" customFormat="1" x14ac:dyDescent="0.25">
      <c r="A232" s="254"/>
      <c r="B232" s="256"/>
      <c r="D232" s="187"/>
      <c r="E232" s="187"/>
      <c r="F232" s="187"/>
      <c r="G232" s="187"/>
      <c r="H232" s="188"/>
      <c r="I232" s="188"/>
      <c r="J232" s="188"/>
      <c r="K232" s="188"/>
      <c r="L232" s="188"/>
      <c r="M232" s="253"/>
      <c r="N232" s="253"/>
      <c r="O232" s="186"/>
      <c r="Q232" s="184"/>
    </row>
    <row r="233" spans="1:17" s="183" customFormat="1" x14ac:dyDescent="0.25">
      <c r="A233" s="254"/>
      <c r="B233" s="256"/>
      <c r="D233" s="187"/>
      <c r="E233" s="187"/>
      <c r="F233" s="187"/>
      <c r="G233" s="187"/>
      <c r="H233" s="188"/>
      <c r="I233" s="188"/>
      <c r="J233" s="188"/>
      <c r="K233" s="188"/>
      <c r="L233" s="188"/>
      <c r="M233" s="253"/>
      <c r="N233" s="253"/>
      <c r="O233" s="186"/>
      <c r="Q233" s="184"/>
    </row>
    <row r="234" spans="1:17" s="183" customFormat="1" x14ac:dyDescent="0.25">
      <c r="A234" s="254"/>
      <c r="B234" s="256"/>
      <c r="D234" s="187"/>
      <c r="E234" s="187"/>
      <c r="F234" s="187"/>
      <c r="G234" s="187"/>
      <c r="H234" s="188"/>
      <c r="I234" s="188"/>
      <c r="J234" s="188"/>
      <c r="K234" s="188"/>
      <c r="L234" s="188"/>
      <c r="M234" s="253"/>
      <c r="N234" s="253"/>
      <c r="O234" s="186"/>
      <c r="Q234" s="184"/>
    </row>
    <row r="235" spans="1:17" s="183" customFormat="1" x14ac:dyDescent="0.25">
      <c r="A235" s="254"/>
      <c r="B235" s="256"/>
      <c r="D235" s="187"/>
      <c r="E235" s="187"/>
      <c r="F235" s="187"/>
      <c r="G235" s="187"/>
      <c r="H235" s="188"/>
      <c r="I235" s="188"/>
      <c r="J235" s="188"/>
      <c r="K235" s="188"/>
      <c r="L235" s="188"/>
      <c r="M235" s="253"/>
      <c r="N235" s="253"/>
      <c r="O235" s="186"/>
      <c r="Q235" s="184"/>
    </row>
    <row r="236" spans="1:17" s="183" customFormat="1" x14ac:dyDescent="0.25">
      <c r="A236" s="254"/>
      <c r="B236" s="256"/>
      <c r="D236" s="187"/>
      <c r="E236" s="187"/>
      <c r="F236" s="187"/>
      <c r="G236" s="187"/>
      <c r="H236" s="188"/>
      <c r="I236" s="188"/>
      <c r="J236" s="188"/>
      <c r="K236" s="188"/>
      <c r="L236" s="188"/>
      <c r="M236" s="253"/>
      <c r="N236" s="253"/>
      <c r="O236" s="186"/>
      <c r="Q236" s="184"/>
    </row>
    <row r="237" spans="1:17" s="183" customFormat="1" x14ac:dyDescent="0.25">
      <c r="A237" s="254"/>
      <c r="B237" s="256"/>
      <c r="D237" s="187"/>
      <c r="E237" s="187"/>
      <c r="F237" s="187"/>
      <c r="G237" s="187"/>
      <c r="H237" s="188"/>
      <c r="I237" s="188"/>
      <c r="J237" s="188"/>
      <c r="K237" s="188"/>
      <c r="L237" s="188"/>
      <c r="M237" s="253"/>
      <c r="N237" s="253"/>
      <c r="O237" s="186"/>
      <c r="Q237" s="184"/>
    </row>
    <row r="238" spans="1:17" s="183" customFormat="1" x14ac:dyDescent="0.25">
      <c r="A238" s="254"/>
      <c r="B238" s="256"/>
      <c r="D238" s="187"/>
      <c r="E238" s="187"/>
      <c r="F238" s="187"/>
      <c r="G238" s="187"/>
      <c r="H238" s="188"/>
      <c r="I238" s="188"/>
      <c r="J238" s="188"/>
      <c r="K238" s="188"/>
      <c r="L238" s="188"/>
      <c r="M238" s="253"/>
      <c r="N238" s="253"/>
      <c r="O238" s="186"/>
      <c r="Q238" s="184"/>
    </row>
    <row r="239" spans="1:17" s="183" customFormat="1" x14ac:dyDescent="0.25">
      <c r="A239" s="254"/>
      <c r="B239" s="256"/>
      <c r="D239" s="187"/>
      <c r="E239" s="187"/>
      <c r="F239" s="187"/>
      <c r="G239" s="187"/>
      <c r="H239" s="188"/>
      <c r="I239" s="188"/>
      <c r="J239" s="188"/>
      <c r="K239" s="188"/>
      <c r="L239" s="188"/>
      <c r="M239" s="253"/>
      <c r="N239" s="253"/>
      <c r="O239" s="186"/>
      <c r="Q239" s="184"/>
    </row>
    <row r="240" spans="1:17" s="183" customFormat="1" x14ac:dyDescent="0.25">
      <c r="A240" s="254"/>
      <c r="B240" s="256"/>
      <c r="D240" s="187"/>
      <c r="E240" s="187"/>
      <c r="F240" s="187"/>
      <c r="G240" s="187"/>
      <c r="H240" s="188"/>
      <c r="I240" s="188"/>
      <c r="J240" s="188"/>
      <c r="K240" s="188"/>
      <c r="L240" s="188"/>
      <c r="M240" s="253"/>
      <c r="N240" s="253"/>
      <c r="O240" s="186"/>
      <c r="Q240" s="184"/>
    </row>
    <row r="241" spans="1:17" s="183" customFormat="1" x14ac:dyDescent="0.25">
      <c r="A241" s="254"/>
      <c r="B241" s="256"/>
      <c r="D241" s="187"/>
      <c r="E241" s="187"/>
      <c r="F241" s="187"/>
      <c r="G241" s="187"/>
      <c r="H241" s="188"/>
      <c r="I241" s="188"/>
      <c r="J241" s="188"/>
      <c r="K241" s="188"/>
      <c r="L241" s="188"/>
      <c r="M241" s="253"/>
      <c r="N241" s="253"/>
      <c r="O241" s="186"/>
      <c r="Q241" s="184"/>
    </row>
    <row r="242" spans="1:17" s="183" customFormat="1" x14ac:dyDescent="0.25">
      <c r="A242" s="254"/>
      <c r="B242" s="256"/>
      <c r="D242" s="187"/>
      <c r="E242" s="187"/>
      <c r="F242" s="187"/>
      <c r="G242" s="187"/>
      <c r="H242" s="188"/>
      <c r="I242" s="188"/>
      <c r="J242" s="188"/>
      <c r="K242" s="188"/>
      <c r="L242" s="188"/>
      <c r="M242" s="253"/>
      <c r="N242" s="253"/>
      <c r="O242" s="186"/>
      <c r="Q242" s="184"/>
    </row>
    <row r="243" spans="1:17" s="183" customFormat="1" x14ac:dyDescent="0.25">
      <c r="A243" s="254"/>
      <c r="B243" s="256"/>
      <c r="D243" s="187"/>
      <c r="E243" s="187"/>
      <c r="F243" s="187"/>
      <c r="G243" s="187"/>
      <c r="H243" s="188"/>
      <c r="I243" s="188"/>
      <c r="J243" s="188"/>
      <c r="K243" s="188"/>
      <c r="L243" s="188"/>
      <c r="M243" s="253"/>
      <c r="N243" s="253"/>
      <c r="O243" s="186"/>
      <c r="Q243" s="184"/>
    </row>
    <row r="244" spans="1:17" s="183" customFormat="1" x14ac:dyDescent="0.25">
      <c r="A244" s="254"/>
      <c r="B244" s="256"/>
      <c r="D244" s="187"/>
      <c r="E244" s="187"/>
      <c r="F244" s="187"/>
      <c r="G244" s="187"/>
      <c r="H244" s="188"/>
      <c r="I244" s="188"/>
      <c r="J244" s="188"/>
      <c r="K244" s="188"/>
      <c r="L244" s="188"/>
      <c r="M244" s="253"/>
      <c r="N244" s="253"/>
      <c r="O244" s="186"/>
      <c r="Q244" s="184"/>
    </row>
    <row r="245" spans="1:17" s="183" customFormat="1" x14ac:dyDescent="0.25">
      <c r="A245" s="254"/>
      <c r="B245" s="256"/>
      <c r="D245" s="187"/>
      <c r="E245" s="187"/>
      <c r="F245" s="187"/>
      <c r="G245" s="187"/>
      <c r="H245" s="188"/>
      <c r="I245" s="188"/>
      <c r="J245" s="188"/>
      <c r="K245" s="188"/>
      <c r="L245" s="188"/>
      <c r="M245" s="253"/>
      <c r="N245" s="253"/>
      <c r="O245" s="186"/>
      <c r="Q245" s="184"/>
    </row>
    <row r="246" spans="1:17" s="183" customFormat="1" x14ac:dyDescent="0.25">
      <c r="A246" s="254"/>
      <c r="B246" s="256"/>
      <c r="D246" s="187"/>
      <c r="E246" s="187"/>
      <c r="F246" s="187"/>
      <c r="G246" s="187"/>
      <c r="H246" s="188"/>
      <c r="I246" s="188"/>
      <c r="J246" s="188"/>
      <c r="K246" s="188"/>
      <c r="L246" s="188"/>
      <c r="M246" s="253"/>
      <c r="N246" s="253"/>
      <c r="O246" s="186"/>
      <c r="Q246" s="184"/>
    </row>
    <row r="247" spans="1:17" s="183" customFormat="1" x14ac:dyDescent="0.25">
      <c r="A247" s="254"/>
      <c r="B247" s="256"/>
      <c r="D247" s="187"/>
      <c r="E247" s="187"/>
      <c r="F247" s="187"/>
      <c r="G247" s="187"/>
      <c r="H247" s="188"/>
      <c r="I247" s="188"/>
      <c r="J247" s="188"/>
      <c r="K247" s="188"/>
      <c r="L247" s="188"/>
      <c r="M247" s="253"/>
      <c r="N247" s="253"/>
      <c r="O247" s="186"/>
      <c r="Q247" s="184"/>
    </row>
    <row r="248" spans="1:17" s="183" customFormat="1" x14ac:dyDescent="0.25">
      <c r="A248" s="254"/>
      <c r="B248" s="256"/>
      <c r="D248" s="187"/>
      <c r="E248" s="187"/>
      <c r="F248" s="187"/>
      <c r="G248" s="187"/>
      <c r="H248" s="188"/>
      <c r="I248" s="188"/>
      <c r="J248" s="188"/>
      <c r="K248" s="188"/>
      <c r="L248" s="188"/>
      <c r="M248" s="253"/>
      <c r="N248" s="253"/>
      <c r="O248" s="186"/>
      <c r="Q248" s="184"/>
    </row>
    <row r="249" spans="1:17" s="183" customFormat="1" x14ac:dyDescent="0.25">
      <c r="A249" s="254"/>
      <c r="B249" s="256"/>
      <c r="D249" s="187"/>
      <c r="E249" s="187"/>
      <c r="F249" s="187"/>
      <c r="G249" s="187"/>
      <c r="H249" s="188"/>
      <c r="I249" s="188"/>
      <c r="J249" s="188"/>
      <c r="K249" s="188"/>
      <c r="L249" s="188"/>
      <c r="M249" s="253"/>
      <c r="N249" s="253"/>
      <c r="O249" s="186"/>
      <c r="Q249" s="184"/>
    </row>
    <row r="250" spans="1:17" s="183" customFormat="1" x14ac:dyDescent="0.25">
      <c r="A250" s="254"/>
      <c r="B250" s="256"/>
      <c r="D250" s="187"/>
      <c r="E250" s="187"/>
      <c r="F250" s="187"/>
      <c r="G250" s="187"/>
      <c r="H250" s="188"/>
      <c r="I250" s="188"/>
      <c r="J250" s="188"/>
      <c r="K250" s="188"/>
      <c r="L250" s="188"/>
      <c r="M250" s="253"/>
      <c r="N250" s="253"/>
      <c r="O250" s="186"/>
      <c r="Q250" s="184"/>
    </row>
    <row r="251" spans="1:17" s="183" customFormat="1" x14ac:dyDescent="0.25">
      <c r="A251" s="254"/>
      <c r="B251" s="256"/>
      <c r="D251" s="187"/>
      <c r="E251" s="187"/>
      <c r="F251" s="187"/>
      <c r="G251" s="187"/>
      <c r="H251" s="188"/>
      <c r="I251" s="188"/>
      <c r="J251" s="188"/>
      <c r="K251" s="188"/>
      <c r="L251" s="188"/>
      <c r="M251" s="253"/>
      <c r="N251" s="253"/>
      <c r="O251" s="186"/>
      <c r="Q251" s="184"/>
    </row>
    <row r="252" spans="1:17" s="183" customFormat="1" x14ac:dyDescent="0.25">
      <c r="A252" s="254"/>
      <c r="B252" s="256"/>
      <c r="D252" s="187"/>
      <c r="E252" s="187"/>
      <c r="F252" s="187"/>
      <c r="G252" s="187"/>
      <c r="H252" s="188"/>
      <c r="I252" s="188"/>
      <c r="J252" s="188"/>
      <c r="K252" s="188"/>
      <c r="L252" s="188"/>
      <c r="M252" s="253"/>
      <c r="N252" s="253"/>
      <c r="O252" s="186"/>
      <c r="Q252" s="184"/>
    </row>
    <row r="253" spans="1:17" s="183" customFormat="1" x14ac:dyDescent="0.25">
      <c r="A253" s="254"/>
      <c r="B253" s="256"/>
      <c r="D253" s="187"/>
      <c r="E253" s="187"/>
      <c r="F253" s="187"/>
      <c r="G253" s="187"/>
      <c r="H253" s="188"/>
      <c r="I253" s="188"/>
      <c r="J253" s="188"/>
      <c r="K253" s="188"/>
      <c r="L253" s="188"/>
      <c r="M253" s="253"/>
      <c r="N253" s="253"/>
      <c r="O253" s="186"/>
      <c r="Q253" s="184"/>
    </row>
    <row r="254" spans="1:17" s="183" customFormat="1" x14ac:dyDescent="0.25">
      <c r="A254" s="254"/>
      <c r="B254" s="256"/>
      <c r="D254" s="187"/>
      <c r="E254" s="187"/>
      <c r="F254" s="187"/>
      <c r="G254" s="187"/>
      <c r="H254" s="188"/>
      <c r="I254" s="188"/>
      <c r="J254" s="188"/>
      <c r="K254" s="188"/>
      <c r="L254" s="188"/>
      <c r="M254" s="253"/>
      <c r="N254" s="253"/>
      <c r="O254" s="186"/>
      <c r="Q254" s="184"/>
    </row>
    <row r="255" spans="1:17" s="183" customFormat="1" x14ac:dyDescent="0.25">
      <c r="A255" s="254"/>
      <c r="B255" s="256"/>
      <c r="D255" s="187"/>
      <c r="E255" s="187"/>
      <c r="F255" s="187"/>
      <c r="G255" s="187"/>
      <c r="H255" s="188"/>
      <c r="I255" s="188"/>
      <c r="J255" s="188"/>
      <c r="K255" s="188"/>
      <c r="L255" s="188"/>
      <c r="M255" s="253"/>
      <c r="N255" s="253"/>
      <c r="O255" s="186"/>
      <c r="Q255" s="184"/>
    </row>
    <row r="256" spans="1:17" s="183" customFormat="1" x14ac:dyDescent="0.25">
      <c r="A256" s="254"/>
      <c r="B256" s="256"/>
      <c r="D256" s="187"/>
      <c r="E256" s="187"/>
      <c r="F256" s="187"/>
      <c r="G256" s="187"/>
      <c r="H256" s="188"/>
      <c r="I256" s="188"/>
      <c r="J256" s="188"/>
      <c r="K256" s="188"/>
      <c r="L256" s="188"/>
      <c r="M256" s="253"/>
      <c r="N256" s="253"/>
      <c r="O256" s="186"/>
      <c r="Q256" s="184"/>
    </row>
    <row r="257" spans="1:17" s="183" customFormat="1" x14ac:dyDescent="0.25">
      <c r="A257" s="254"/>
      <c r="B257" s="256"/>
      <c r="D257" s="187"/>
      <c r="E257" s="187"/>
      <c r="F257" s="187"/>
      <c r="G257" s="187"/>
      <c r="H257" s="188"/>
      <c r="I257" s="188"/>
      <c r="J257" s="188"/>
      <c r="K257" s="188"/>
      <c r="L257" s="188"/>
      <c r="M257" s="253"/>
      <c r="N257" s="253"/>
      <c r="O257" s="186"/>
      <c r="Q257" s="184"/>
    </row>
    <row r="258" spans="1:17" s="183" customFormat="1" x14ac:dyDescent="0.25">
      <c r="A258" s="254"/>
      <c r="B258" s="256"/>
      <c r="D258" s="187"/>
      <c r="E258" s="187"/>
      <c r="F258" s="187"/>
      <c r="G258" s="187"/>
      <c r="H258" s="188"/>
      <c r="I258" s="188"/>
      <c r="J258" s="188"/>
      <c r="K258" s="188"/>
      <c r="L258" s="188"/>
      <c r="M258" s="253"/>
      <c r="N258" s="253"/>
      <c r="O258" s="186"/>
      <c r="Q258" s="184"/>
    </row>
    <row r="259" spans="1:17" s="183" customFormat="1" x14ac:dyDescent="0.25">
      <c r="A259" s="254"/>
      <c r="B259" s="256"/>
      <c r="D259" s="187"/>
      <c r="E259" s="187"/>
      <c r="F259" s="187"/>
      <c r="G259" s="187"/>
      <c r="H259" s="188"/>
      <c r="I259" s="188"/>
      <c r="J259" s="188"/>
      <c r="K259" s="188"/>
      <c r="L259" s="188"/>
      <c r="M259" s="253"/>
      <c r="N259" s="253"/>
      <c r="O259" s="186"/>
      <c r="Q259" s="184"/>
    </row>
    <row r="260" spans="1:17" s="183" customFormat="1" x14ac:dyDescent="0.25">
      <c r="A260" s="254"/>
      <c r="B260" s="256"/>
      <c r="D260" s="187"/>
      <c r="E260" s="187"/>
      <c r="F260" s="187"/>
      <c r="G260" s="187"/>
      <c r="H260" s="188"/>
      <c r="I260" s="188"/>
      <c r="J260" s="188"/>
      <c r="K260" s="188"/>
      <c r="L260" s="188"/>
      <c r="M260" s="253"/>
      <c r="N260" s="253"/>
      <c r="O260" s="186"/>
      <c r="Q260" s="184"/>
    </row>
    <row r="261" spans="1:17" s="183" customFormat="1" x14ac:dyDescent="0.25">
      <c r="A261" s="254"/>
      <c r="B261" s="256"/>
      <c r="D261" s="187"/>
      <c r="E261" s="187"/>
      <c r="F261" s="187"/>
      <c r="G261" s="187"/>
      <c r="H261" s="188"/>
      <c r="I261" s="188"/>
      <c r="J261" s="188"/>
      <c r="K261" s="188"/>
      <c r="L261" s="188"/>
      <c r="M261" s="253"/>
      <c r="N261" s="253"/>
      <c r="O261" s="186"/>
      <c r="Q261" s="184"/>
    </row>
    <row r="262" spans="1:17" s="183" customFormat="1" x14ac:dyDescent="0.25">
      <c r="A262" s="254"/>
      <c r="B262" s="256"/>
      <c r="D262" s="187"/>
      <c r="E262" s="187"/>
      <c r="F262" s="187"/>
      <c r="G262" s="187"/>
      <c r="H262" s="188"/>
      <c r="I262" s="188"/>
      <c r="J262" s="188"/>
      <c r="K262" s="188"/>
      <c r="L262" s="188"/>
      <c r="M262" s="253"/>
      <c r="N262" s="253"/>
      <c r="O262" s="186"/>
      <c r="Q262" s="184"/>
    </row>
    <row r="263" spans="1:17" s="183" customFormat="1" x14ac:dyDescent="0.25">
      <c r="A263" s="254"/>
      <c r="B263" s="256"/>
      <c r="D263" s="187"/>
      <c r="E263" s="187"/>
      <c r="F263" s="187"/>
      <c r="G263" s="187"/>
      <c r="H263" s="188"/>
      <c r="I263" s="188"/>
      <c r="J263" s="188"/>
      <c r="K263" s="188"/>
      <c r="L263" s="188"/>
      <c r="M263" s="253"/>
      <c r="N263" s="253"/>
      <c r="O263" s="186"/>
      <c r="Q263" s="184"/>
    </row>
    <row r="264" spans="1:17" s="183" customFormat="1" x14ac:dyDescent="0.25">
      <c r="A264" s="254"/>
      <c r="B264" s="256"/>
      <c r="D264" s="187"/>
      <c r="E264" s="187"/>
      <c r="F264" s="187"/>
      <c r="G264" s="187"/>
      <c r="H264" s="188"/>
      <c r="I264" s="188"/>
      <c r="J264" s="188"/>
      <c r="K264" s="188"/>
      <c r="L264" s="188"/>
      <c r="M264" s="253"/>
      <c r="N264" s="253"/>
      <c r="O264" s="186"/>
      <c r="Q264" s="184"/>
    </row>
    <row r="265" spans="1:17" s="183" customFormat="1" x14ac:dyDescent="0.25">
      <c r="A265" s="254"/>
      <c r="B265" s="256"/>
      <c r="D265" s="187"/>
      <c r="E265" s="187"/>
      <c r="F265" s="187"/>
      <c r="G265" s="187"/>
      <c r="H265" s="188"/>
      <c r="I265" s="188"/>
      <c r="J265" s="188"/>
      <c r="K265" s="188"/>
      <c r="L265" s="188"/>
      <c r="M265" s="253"/>
      <c r="N265" s="253"/>
      <c r="O265" s="186"/>
      <c r="Q265" s="184"/>
    </row>
    <row r="266" spans="1:17" s="183" customFormat="1" x14ac:dyDescent="0.25">
      <c r="A266" s="254"/>
      <c r="B266" s="256"/>
      <c r="D266" s="187"/>
      <c r="E266" s="187"/>
      <c r="F266" s="187"/>
      <c r="G266" s="187"/>
      <c r="H266" s="188"/>
      <c r="I266" s="188"/>
      <c r="J266" s="188"/>
      <c r="K266" s="188"/>
      <c r="L266" s="188"/>
      <c r="M266" s="253"/>
      <c r="N266" s="253"/>
      <c r="O266" s="186"/>
      <c r="Q266" s="184"/>
    </row>
    <row r="267" spans="1:17" s="183" customFormat="1" x14ac:dyDescent="0.25">
      <c r="A267" s="254"/>
      <c r="B267" s="256"/>
      <c r="D267" s="187"/>
      <c r="E267" s="187"/>
      <c r="F267" s="187"/>
      <c r="G267" s="187"/>
      <c r="H267" s="188"/>
      <c r="I267" s="188"/>
      <c r="J267" s="188"/>
      <c r="K267" s="188"/>
      <c r="L267" s="188"/>
      <c r="M267" s="253"/>
      <c r="N267" s="253"/>
      <c r="O267" s="186"/>
      <c r="Q267" s="184"/>
    </row>
    <row r="268" spans="1:17" s="183" customFormat="1" x14ac:dyDescent="0.25">
      <c r="A268" s="254"/>
      <c r="B268" s="256"/>
      <c r="D268" s="187"/>
      <c r="E268" s="187"/>
      <c r="F268" s="187"/>
      <c r="G268" s="187"/>
      <c r="H268" s="188"/>
      <c r="I268" s="188"/>
      <c r="J268" s="188"/>
      <c r="K268" s="188"/>
      <c r="L268" s="188"/>
      <c r="M268" s="253"/>
      <c r="N268" s="253"/>
      <c r="O268" s="186"/>
      <c r="Q268" s="184"/>
    </row>
    <row r="269" spans="1:17" s="183" customFormat="1" x14ac:dyDescent="0.25">
      <c r="A269" s="254"/>
      <c r="B269" s="256"/>
      <c r="D269" s="187"/>
      <c r="E269" s="187"/>
      <c r="F269" s="187"/>
      <c r="G269" s="187"/>
      <c r="H269" s="188"/>
      <c r="I269" s="188"/>
      <c r="J269" s="188"/>
      <c r="K269" s="188"/>
      <c r="L269" s="188"/>
      <c r="M269" s="253"/>
      <c r="N269" s="253"/>
      <c r="O269" s="186"/>
      <c r="Q269" s="184"/>
    </row>
    <row r="270" spans="1:17" s="183" customFormat="1" x14ac:dyDescent="0.25">
      <c r="A270" s="254"/>
      <c r="B270" s="256"/>
      <c r="D270" s="187"/>
      <c r="E270" s="187"/>
      <c r="F270" s="187"/>
      <c r="G270" s="187"/>
      <c r="H270" s="188"/>
      <c r="I270" s="188"/>
      <c r="J270" s="188"/>
      <c r="K270" s="188"/>
      <c r="L270" s="188"/>
      <c r="M270" s="253"/>
      <c r="N270" s="253"/>
      <c r="O270" s="186"/>
      <c r="Q270" s="184"/>
    </row>
  </sheetData>
  <sheetProtection password="FB6B" sheet="1" formatCells="0" formatColumns="0" formatRows="0"/>
  <mergeCells count="116">
    <mergeCell ref="B1:C1"/>
    <mergeCell ref="G1:H1"/>
    <mergeCell ref="A3:Q3"/>
    <mergeCell ref="D1:F1"/>
    <mergeCell ref="O1:Q1"/>
    <mergeCell ref="O2:Q2"/>
    <mergeCell ref="B16:E16"/>
    <mergeCell ref="A17:C17"/>
    <mergeCell ref="B18:E18"/>
    <mergeCell ref="J6:K10"/>
    <mergeCell ref="J12:K16"/>
    <mergeCell ref="L6:L14"/>
    <mergeCell ref="B11:E11"/>
    <mergeCell ref="B12:E12"/>
    <mergeCell ref="B14:E14"/>
    <mergeCell ref="B13:E13"/>
    <mergeCell ref="M17:Q17"/>
    <mergeCell ref="N6:Q6"/>
    <mergeCell ref="N7:Q7"/>
    <mergeCell ref="N8:Q8"/>
    <mergeCell ref="N5:Q5"/>
    <mergeCell ref="N9:R9"/>
    <mergeCell ref="B19:E19"/>
    <mergeCell ref="B20:E20"/>
    <mergeCell ref="A4:C4"/>
    <mergeCell ref="B5:E5"/>
    <mergeCell ref="B6:E6"/>
    <mergeCell ref="B7:E7"/>
    <mergeCell ref="B15:E15"/>
    <mergeCell ref="B8:E8"/>
    <mergeCell ref="B9:E9"/>
    <mergeCell ref="B10:E10"/>
    <mergeCell ref="L25:N25"/>
    <mergeCell ref="O25:Q25"/>
    <mergeCell ref="B28:C28"/>
    <mergeCell ref="B29:C29"/>
    <mergeCell ref="B27:C27"/>
    <mergeCell ref="B21:E21"/>
    <mergeCell ref="B22:E22"/>
    <mergeCell ref="B23:E23"/>
    <mergeCell ref="A25:A26"/>
    <mergeCell ref="B25:C26"/>
    <mergeCell ref="D25:F25"/>
    <mergeCell ref="B41:C41"/>
    <mergeCell ref="B42:C42"/>
    <mergeCell ref="B43:C43"/>
    <mergeCell ref="B38:C38"/>
    <mergeCell ref="B39:C39"/>
    <mergeCell ref="B40:C40"/>
    <mergeCell ref="B30:C30"/>
    <mergeCell ref="J25:K25"/>
    <mergeCell ref="B34:C34"/>
    <mergeCell ref="B35:C35"/>
    <mergeCell ref="B37:C37"/>
    <mergeCell ref="B31:C31"/>
    <mergeCell ref="B32:C32"/>
    <mergeCell ref="B33:C33"/>
    <mergeCell ref="G25:I25"/>
    <mergeCell ref="B36:C36"/>
    <mergeCell ref="B51:C51"/>
    <mergeCell ref="B52:C52"/>
    <mergeCell ref="B53:C53"/>
    <mergeCell ref="B47:C47"/>
    <mergeCell ref="B49:C49"/>
    <mergeCell ref="B50:C50"/>
    <mergeCell ref="B44:C44"/>
    <mergeCell ref="B45:C45"/>
    <mergeCell ref="B46:C46"/>
    <mergeCell ref="B48:C48"/>
    <mergeCell ref="B60:C60"/>
    <mergeCell ref="B61:C61"/>
    <mergeCell ref="B62:C62"/>
    <mergeCell ref="B57:C57"/>
    <mergeCell ref="B58:C58"/>
    <mergeCell ref="B59:C59"/>
    <mergeCell ref="B54:C54"/>
    <mergeCell ref="B55:C55"/>
    <mergeCell ref="B56:C56"/>
    <mergeCell ref="B69:C69"/>
    <mergeCell ref="B70:C70"/>
    <mergeCell ref="B71:C71"/>
    <mergeCell ref="B66:C66"/>
    <mergeCell ref="B67:C67"/>
    <mergeCell ref="B68:C68"/>
    <mergeCell ref="B63:C63"/>
    <mergeCell ref="B64:C64"/>
    <mergeCell ref="B65:C65"/>
    <mergeCell ref="B78:C78"/>
    <mergeCell ref="B79:C79"/>
    <mergeCell ref="B80:C80"/>
    <mergeCell ref="B75:C75"/>
    <mergeCell ref="B76:C76"/>
    <mergeCell ref="B77:C77"/>
    <mergeCell ref="B72:C72"/>
    <mergeCell ref="B73:C73"/>
    <mergeCell ref="B74:C74"/>
    <mergeCell ref="B86:D86"/>
    <mergeCell ref="B87:D87"/>
    <mergeCell ref="B88:D88"/>
    <mergeCell ref="B90:D90"/>
    <mergeCell ref="B91:D91"/>
    <mergeCell ref="B89:D89"/>
    <mergeCell ref="B81:C81"/>
    <mergeCell ref="B82:C82"/>
    <mergeCell ref="A83:D83"/>
    <mergeCell ref="B84:D84"/>
    <mergeCell ref="B85:D85"/>
    <mergeCell ref="A106:Q110"/>
    <mergeCell ref="A111:Q115"/>
    <mergeCell ref="A116:Q120"/>
    <mergeCell ref="A96:Q100"/>
    <mergeCell ref="A101:Q105"/>
    <mergeCell ref="B92:D92"/>
    <mergeCell ref="B93:D93"/>
    <mergeCell ref="B94:D94"/>
    <mergeCell ref="B95:D95"/>
  </mergeCells>
  <pageMargins left="0" right="7.874015748031496E-2" top="0.19685039370078741" bottom="0" header="0.39370078740157483" footer="0"/>
  <pageSetup paperSize="9" scale="40" orientation="landscape" r:id="rId1"/>
  <headerFooter alignWithMargins="0">
    <oddFooter>&amp;RСтор.  &amp;P</oddFooter>
  </headerFooter>
  <rowBreaks count="2" manualBreakCount="2">
    <brk id="42" max="17" man="1"/>
    <brk id="9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Аркуш6">
    <tabColor rgb="FF92D050"/>
  </sheetPr>
  <dimension ref="A1:V162"/>
  <sheetViews>
    <sheetView showGridLines="0" view="pageBreakPreview" zoomScale="80" zoomScaleNormal="60" zoomScaleSheetLayoutView="80" zoomScalePageLayoutView="50" workbookViewId="0">
      <selection activeCell="J16" sqref="J16"/>
    </sheetView>
  </sheetViews>
  <sheetFormatPr defaultColWidth="8.85546875" defaultRowHeight="18.75" x14ac:dyDescent="0.25"/>
  <cols>
    <col min="1" max="1" width="8.42578125" style="28" customWidth="1"/>
    <col min="2" max="2" width="7.85546875" style="26" customWidth="1"/>
    <col min="3" max="3" width="17.5703125" style="1" customWidth="1"/>
    <col min="4" max="4" width="53.42578125" style="2" customWidth="1"/>
    <col min="5" max="5" width="17.42578125" style="118" customWidth="1"/>
    <col min="6" max="6" width="17.5703125" style="118" customWidth="1"/>
    <col min="7" max="7" width="24" style="118" customWidth="1"/>
    <col min="8" max="8" width="20.42578125" style="4" customWidth="1"/>
    <col min="9" max="9" width="21.5703125" style="4" customWidth="1"/>
    <col min="10" max="10" width="21.140625" style="4" customWidth="1"/>
    <col min="11" max="11" width="22.42578125" style="4" customWidth="1"/>
    <col min="12" max="12" width="26.85546875" style="18" customWidth="1"/>
    <col min="13" max="13" width="22.85546875" style="16" customWidth="1"/>
    <col min="14" max="14" width="20.5703125" style="2" customWidth="1"/>
    <col min="15" max="15" width="128.42578125" style="76" customWidth="1"/>
    <col min="16" max="17" width="23.5703125" style="76" customWidth="1"/>
    <col min="18" max="22" width="23.5703125" style="2" customWidth="1"/>
    <col min="23" max="245" width="8.85546875" style="2"/>
    <col min="246" max="246" width="78.5703125" style="2" customWidth="1"/>
    <col min="247" max="249" width="19.42578125" style="2" customWidth="1"/>
    <col min="250" max="16384" width="8.85546875" style="2"/>
  </cols>
  <sheetData>
    <row r="1" spans="1:22" ht="21.6" customHeight="1" x14ac:dyDescent="0.25">
      <c r="A1" s="805" t="s">
        <v>0</v>
      </c>
      <c r="B1" s="805"/>
      <c r="C1" s="805"/>
      <c r="D1" s="137">
        <f>'Звіт 1,2,3'!D1:I1</f>
        <v>37650571</v>
      </c>
      <c r="E1" s="119" t="s">
        <v>1</v>
      </c>
      <c r="F1" s="124">
        <f>'Звіт 1,2,3'!H1</f>
        <v>150</v>
      </c>
      <c r="G1" s="2"/>
      <c r="H1" s="2"/>
      <c r="I1" s="2"/>
      <c r="J1" s="155"/>
      <c r="K1" s="155"/>
      <c r="L1" s="155"/>
      <c r="M1" s="781" t="s">
        <v>425</v>
      </c>
      <c r="N1" s="781"/>
      <c r="O1" s="157"/>
      <c r="P1" s="2"/>
      <c r="Q1" s="2"/>
      <c r="T1" s="76"/>
      <c r="U1" s="76"/>
      <c r="V1" s="76"/>
    </row>
    <row r="2" spans="1:22" ht="18" customHeight="1" x14ac:dyDescent="0.25">
      <c r="B2" s="1"/>
      <c r="C2" s="2"/>
      <c r="D2" s="118"/>
      <c r="G2" s="4"/>
      <c r="J2" s="13"/>
      <c r="K2" s="2"/>
      <c r="L2" s="2"/>
      <c r="M2" s="845" t="s">
        <v>369</v>
      </c>
      <c r="N2" s="845"/>
      <c r="O2" s="158"/>
      <c r="P2" s="2"/>
      <c r="Q2" s="2"/>
      <c r="T2" s="76"/>
      <c r="U2" s="76"/>
      <c r="V2" s="76"/>
    </row>
    <row r="3" spans="1:22" ht="18.600000000000001" customHeight="1" x14ac:dyDescent="0.25">
      <c r="A3" s="851" t="str">
        <f>'Звіт   4,5,6'!A3</f>
        <v>ЗВІТ ПРО ДОХОДИ ТА ВИТРАТИ за квартал 2020 року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22"/>
      <c r="P3" s="22"/>
      <c r="Q3" s="22"/>
      <c r="R3" s="22"/>
      <c r="S3" s="76"/>
      <c r="T3" s="76"/>
      <c r="U3" s="76"/>
      <c r="V3" s="76"/>
    </row>
    <row r="4" spans="1:22" s="31" customFormat="1" ht="28.35" customHeight="1" thickBot="1" x14ac:dyDescent="0.35">
      <c r="A4" s="178" t="s">
        <v>421</v>
      </c>
      <c r="C4" s="59"/>
      <c r="I4" s="58"/>
      <c r="N4" s="165" t="s">
        <v>323</v>
      </c>
      <c r="O4" s="21"/>
      <c r="P4" s="21"/>
      <c r="Q4" s="21"/>
    </row>
    <row r="5" spans="1:22" s="12" customFormat="1" ht="52.35" customHeight="1" x14ac:dyDescent="0.25">
      <c r="A5" s="926" t="str">
        <f>'Звіт   4,5,6'!A5</f>
        <v>№ з/п</v>
      </c>
      <c r="B5" s="927"/>
      <c r="C5" s="928" t="s">
        <v>7</v>
      </c>
      <c r="D5" s="929"/>
      <c r="E5" s="929"/>
      <c r="F5" s="930"/>
      <c r="G5" s="923" t="s">
        <v>334</v>
      </c>
      <c r="H5" s="923"/>
      <c r="I5" s="666" t="s">
        <v>335</v>
      </c>
      <c r="J5" s="666"/>
      <c r="K5" s="666" t="s">
        <v>324</v>
      </c>
      <c r="L5" s="666"/>
      <c r="M5" s="666" t="s">
        <v>606</v>
      </c>
      <c r="N5" s="924"/>
      <c r="O5" s="81"/>
      <c r="P5" s="82"/>
      <c r="Q5" s="20"/>
    </row>
    <row r="6" spans="1:22" s="12" customFormat="1" ht="32.1" customHeight="1" x14ac:dyDescent="0.25">
      <c r="A6" s="925"/>
      <c r="B6" s="897"/>
      <c r="C6" s="931"/>
      <c r="D6" s="932"/>
      <c r="E6" s="932"/>
      <c r="F6" s="933"/>
      <c r="G6" s="66" t="s">
        <v>91</v>
      </c>
      <c r="H6" s="66" t="s">
        <v>8</v>
      </c>
      <c r="I6" s="66" t="s">
        <v>91</v>
      </c>
      <c r="J6" s="66" t="s">
        <v>8</v>
      </c>
      <c r="K6" s="66" t="s">
        <v>91</v>
      </c>
      <c r="L6" s="66" t="s">
        <v>8</v>
      </c>
      <c r="M6" s="66" t="s">
        <v>91</v>
      </c>
      <c r="N6" s="161" t="s">
        <v>8</v>
      </c>
      <c r="O6" s="81"/>
      <c r="P6" s="82"/>
      <c r="Q6" s="20"/>
    </row>
    <row r="7" spans="1:22" s="30" customFormat="1" ht="23.45" customHeight="1" x14ac:dyDescent="0.25">
      <c r="A7" s="925">
        <v>1</v>
      </c>
      <c r="B7" s="897"/>
      <c r="C7" s="897">
        <v>2</v>
      </c>
      <c r="D7" s="897"/>
      <c r="E7" s="897"/>
      <c r="F7" s="897"/>
      <c r="G7" s="74">
        <v>3</v>
      </c>
      <c r="H7" s="74">
        <v>4</v>
      </c>
      <c r="I7" s="75">
        <v>5</v>
      </c>
      <c r="J7" s="74">
        <v>6</v>
      </c>
      <c r="K7" s="74">
        <v>7</v>
      </c>
      <c r="L7" s="75">
        <v>8</v>
      </c>
      <c r="M7" s="74">
        <v>9</v>
      </c>
      <c r="N7" s="162">
        <v>10</v>
      </c>
      <c r="O7" s="83"/>
      <c r="P7" s="84"/>
      <c r="Q7" s="80"/>
    </row>
    <row r="8" spans="1:22" s="12" customFormat="1" ht="23.1" customHeight="1" x14ac:dyDescent="0.3">
      <c r="A8" s="934" t="s">
        <v>172</v>
      </c>
      <c r="B8" s="935"/>
      <c r="C8" s="891" t="s">
        <v>162</v>
      </c>
      <c r="D8" s="891"/>
      <c r="E8" s="891"/>
      <c r="F8" s="891"/>
      <c r="G8" s="67">
        <f t="shared" ref="G8:N8" si="0">SUM(G9,G11,G13,G15,G17,G19)</f>
        <v>1493115.3299999998</v>
      </c>
      <c r="H8" s="67">
        <f t="shared" si="0"/>
        <v>1587248.36</v>
      </c>
      <c r="I8" s="67">
        <f t="shared" si="0"/>
        <v>1252436.54</v>
      </c>
      <c r="J8" s="67">
        <f t="shared" si="0"/>
        <v>1273868.56</v>
      </c>
      <c r="K8" s="67">
        <f t="shared" si="0"/>
        <v>240678.79</v>
      </c>
      <c r="L8" s="67">
        <f t="shared" si="0"/>
        <v>313379.8</v>
      </c>
      <c r="M8" s="67">
        <f t="shared" si="0"/>
        <v>0</v>
      </c>
      <c r="N8" s="111">
        <f t="shared" si="0"/>
        <v>0</v>
      </c>
      <c r="O8" s="20"/>
      <c r="P8" s="20"/>
      <c r="Q8" s="20"/>
    </row>
    <row r="9" spans="1:22" s="12" customFormat="1" ht="23.1" customHeight="1" x14ac:dyDescent="0.3">
      <c r="A9" s="934" t="s">
        <v>169</v>
      </c>
      <c r="B9" s="935"/>
      <c r="C9" s="880" t="s">
        <v>35</v>
      </c>
      <c r="D9" s="880"/>
      <c r="E9" s="880"/>
      <c r="F9" s="880"/>
      <c r="G9" s="67">
        <f>SUM(I9,K9,M9)</f>
        <v>56247.79</v>
      </c>
      <c r="H9" s="67">
        <f>SUM(J9,L9,N9)</f>
        <v>70707.73</v>
      </c>
      <c r="I9" s="344">
        <v>0</v>
      </c>
      <c r="J9" s="344">
        <v>0</v>
      </c>
      <c r="K9" s="93">
        <v>56247.79</v>
      </c>
      <c r="L9" s="93">
        <v>70707.73</v>
      </c>
      <c r="M9" s="93">
        <v>0</v>
      </c>
      <c r="N9" s="93">
        <v>0</v>
      </c>
      <c r="O9" s="20"/>
      <c r="P9" s="20"/>
      <c r="Q9" s="20"/>
    </row>
    <row r="10" spans="1:22" s="12" customFormat="1" ht="23.1" customHeight="1" x14ac:dyDescent="0.3">
      <c r="A10" s="934" t="s">
        <v>204</v>
      </c>
      <c r="B10" s="935"/>
      <c r="C10" s="936" t="s">
        <v>424</v>
      </c>
      <c r="D10" s="936"/>
      <c r="E10" s="936"/>
      <c r="F10" s="936"/>
      <c r="G10" s="67">
        <f>SUM(I10,K10,M10)</f>
        <v>0</v>
      </c>
      <c r="H10" s="67">
        <f>SUM(J10,L10,N10)</f>
        <v>0</v>
      </c>
      <c r="I10" s="344">
        <v>0</v>
      </c>
      <c r="J10" s="344">
        <v>0</v>
      </c>
      <c r="K10" s="93" t="s">
        <v>731</v>
      </c>
      <c r="L10" s="93">
        <v>0</v>
      </c>
      <c r="M10" s="93">
        <v>0</v>
      </c>
      <c r="N10" s="93">
        <v>0</v>
      </c>
      <c r="O10" s="20"/>
      <c r="P10" s="20"/>
      <c r="Q10" s="20"/>
    </row>
    <row r="11" spans="1:22" s="12" customFormat="1" ht="23.1" customHeight="1" x14ac:dyDescent="0.3">
      <c r="A11" s="934" t="s">
        <v>173</v>
      </c>
      <c r="B11" s="935"/>
      <c r="C11" s="880" t="s">
        <v>36</v>
      </c>
      <c r="D11" s="880"/>
      <c r="E11" s="880"/>
      <c r="F11" s="880"/>
      <c r="G11" s="67">
        <f t="shared" ref="G11:G20" si="1">SUM(I11,K11,M11)</f>
        <v>45035.56</v>
      </c>
      <c r="H11" s="67">
        <f t="shared" ref="H11:H22" si="2">SUM(J11,L11,N11)</f>
        <v>52104.59</v>
      </c>
      <c r="I11" s="344">
        <v>0</v>
      </c>
      <c r="J11" s="344">
        <v>0</v>
      </c>
      <c r="K11" s="93">
        <v>45035.56</v>
      </c>
      <c r="L11" s="93">
        <v>52104.59</v>
      </c>
      <c r="M11" s="93">
        <v>0</v>
      </c>
      <c r="N11" s="93">
        <v>0</v>
      </c>
      <c r="O11" s="20"/>
      <c r="P11" s="20"/>
      <c r="Q11" s="20"/>
    </row>
    <row r="12" spans="1:22" s="12" customFormat="1" ht="23.1" customHeight="1" x14ac:dyDescent="0.3">
      <c r="A12" s="934" t="s">
        <v>205</v>
      </c>
      <c r="B12" s="935"/>
      <c r="C12" s="936" t="s">
        <v>424</v>
      </c>
      <c r="D12" s="936"/>
      <c r="E12" s="936"/>
      <c r="F12" s="936"/>
      <c r="G12" s="67">
        <f t="shared" si="1"/>
        <v>0</v>
      </c>
      <c r="H12" s="67">
        <f t="shared" si="2"/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20"/>
      <c r="P12" s="20"/>
      <c r="Q12" s="20"/>
    </row>
    <row r="13" spans="1:22" s="12" customFormat="1" ht="27.6" customHeight="1" x14ac:dyDescent="0.3">
      <c r="A13" s="934" t="s">
        <v>174</v>
      </c>
      <c r="B13" s="935"/>
      <c r="C13" s="880" t="s">
        <v>15</v>
      </c>
      <c r="D13" s="880"/>
      <c r="E13" s="880"/>
      <c r="F13" s="880"/>
      <c r="G13" s="67">
        <f t="shared" si="1"/>
        <v>182693.36</v>
      </c>
      <c r="H13" s="67">
        <f t="shared" si="2"/>
        <v>218502.06</v>
      </c>
      <c r="I13" s="93">
        <v>182693.36</v>
      </c>
      <c r="J13" s="93">
        <f>222846.03-4343.97</f>
        <v>218502.06</v>
      </c>
      <c r="K13" s="108" t="s">
        <v>360</v>
      </c>
      <c r="L13" s="108" t="s">
        <v>360</v>
      </c>
      <c r="M13" s="93">
        <v>0</v>
      </c>
      <c r="N13" s="93">
        <v>0</v>
      </c>
      <c r="O13" s="20"/>
      <c r="P13" s="20"/>
      <c r="Q13" s="20"/>
    </row>
    <row r="14" spans="1:22" s="12" customFormat="1" ht="23.1" customHeight="1" x14ac:dyDescent="0.3">
      <c r="A14" s="934" t="s">
        <v>206</v>
      </c>
      <c r="B14" s="935"/>
      <c r="C14" s="936" t="s">
        <v>424</v>
      </c>
      <c r="D14" s="936"/>
      <c r="E14" s="936"/>
      <c r="F14" s="936"/>
      <c r="G14" s="67">
        <f t="shared" si="1"/>
        <v>0</v>
      </c>
      <c r="H14" s="67">
        <f t="shared" si="2"/>
        <v>0</v>
      </c>
      <c r="I14" s="93">
        <v>0</v>
      </c>
      <c r="J14" s="93">
        <v>0</v>
      </c>
      <c r="K14" s="108" t="s">
        <v>360</v>
      </c>
      <c r="L14" s="108" t="s">
        <v>360</v>
      </c>
      <c r="M14" s="93">
        <v>0</v>
      </c>
      <c r="N14" s="93">
        <v>0</v>
      </c>
      <c r="O14" s="20"/>
      <c r="P14" s="20"/>
      <c r="Q14" s="20"/>
    </row>
    <row r="15" spans="1:22" s="12" customFormat="1" ht="23.1" customHeight="1" x14ac:dyDescent="0.3">
      <c r="A15" s="934" t="s">
        <v>175</v>
      </c>
      <c r="B15" s="935"/>
      <c r="C15" s="880" t="s">
        <v>16</v>
      </c>
      <c r="D15" s="880"/>
      <c r="E15" s="880"/>
      <c r="F15" s="880"/>
      <c r="G15" s="67">
        <f t="shared" si="1"/>
        <v>638266.53</v>
      </c>
      <c r="H15" s="67">
        <f t="shared" si="2"/>
        <v>623923.51</v>
      </c>
      <c r="I15" s="93">
        <v>638266.53</v>
      </c>
      <c r="J15" s="93">
        <f>641073.48-20928.57+3778.6</f>
        <v>623923.51</v>
      </c>
      <c r="K15" s="108" t="s">
        <v>360</v>
      </c>
      <c r="L15" s="108" t="s">
        <v>360</v>
      </c>
      <c r="M15" s="93">
        <v>0</v>
      </c>
      <c r="N15" s="93">
        <v>0</v>
      </c>
      <c r="O15" s="20"/>
      <c r="P15" s="20"/>
      <c r="Q15" s="20"/>
    </row>
    <row r="16" spans="1:22" s="12" customFormat="1" ht="23.1" customHeight="1" x14ac:dyDescent="0.3">
      <c r="A16" s="934" t="s">
        <v>207</v>
      </c>
      <c r="B16" s="935"/>
      <c r="C16" s="936" t="s">
        <v>424</v>
      </c>
      <c r="D16" s="936"/>
      <c r="E16" s="936"/>
      <c r="F16" s="936"/>
      <c r="G16" s="67">
        <f t="shared" si="1"/>
        <v>0</v>
      </c>
      <c r="H16" s="67">
        <f t="shared" si="2"/>
        <v>0</v>
      </c>
      <c r="I16" s="93">
        <v>0</v>
      </c>
      <c r="J16" s="93">
        <v>0</v>
      </c>
      <c r="K16" s="108" t="s">
        <v>360</v>
      </c>
      <c r="L16" s="108" t="s">
        <v>360</v>
      </c>
      <c r="M16" s="93">
        <v>0</v>
      </c>
      <c r="N16" s="93">
        <v>0</v>
      </c>
      <c r="O16" s="20"/>
      <c r="P16" s="20"/>
      <c r="Q16" s="20"/>
    </row>
    <row r="17" spans="1:17" s="12" customFormat="1" ht="23.1" customHeight="1" x14ac:dyDescent="0.3">
      <c r="A17" s="934" t="s">
        <v>176</v>
      </c>
      <c r="B17" s="935"/>
      <c r="C17" s="880" t="s">
        <v>17</v>
      </c>
      <c r="D17" s="880"/>
      <c r="E17" s="880"/>
      <c r="F17" s="880"/>
      <c r="G17" s="67">
        <f t="shared" si="1"/>
        <v>150880.4</v>
      </c>
      <c r="H17" s="67">
        <f t="shared" si="2"/>
        <v>152016.46</v>
      </c>
      <c r="I17" s="93">
        <v>150880.4</v>
      </c>
      <c r="J17" s="93">
        <v>152016.46</v>
      </c>
      <c r="K17" s="108" t="s">
        <v>360</v>
      </c>
      <c r="L17" s="108" t="s">
        <v>360</v>
      </c>
      <c r="M17" s="93">
        <v>0</v>
      </c>
      <c r="N17" s="93">
        <v>0</v>
      </c>
      <c r="O17" s="20"/>
      <c r="P17" s="20"/>
      <c r="Q17" s="20"/>
    </row>
    <row r="18" spans="1:17" s="12" customFormat="1" ht="23.1" customHeight="1" x14ac:dyDescent="0.3">
      <c r="A18" s="934" t="s">
        <v>208</v>
      </c>
      <c r="B18" s="935"/>
      <c r="C18" s="936" t="s">
        <v>424</v>
      </c>
      <c r="D18" s="936"/>
      <c r="E18" s="936"/>
      <c r="F18" s="936"/>
      <c r="G18" s="67">
        <f t="shared" si="1"/>
        <v>0</v>
      </c>
      <c r="H18" s="67">
        <f t="shared" si="2"/>
        <v>0</v>
      </c>
      <c r="I18" s="93">
        <v>0</v>
      </c>
      <c r="J18" s="93">
        <v>0</v>
      </c>
      <c r="K18" s="108" t="s">
        <v>360</v>
      </c>
      <c r="L18" s="108" t="s">
        <v>360</v>
      </c>
      <c r="M18" s="93">
        <v>0</v>
      </c>
      <c r="N18" s="93">
        <v>0</v>
      </c>
      <c r="O18" s="20"/>
      <c r="P18" s="20"/>
      <c r="Q18" s="20"/>
    </row>
    <row r="19" spans="1:17" s="12" customFormat="1" ht="23.1" customHeight="1" x14ac:dyDescent="0.3">
      <c r="A19" s="934" t="s">
        <v>177</v>
      </c>
      <c r="B19" s="935"/>
      <c r="C19" s="880" t="s">
        <v>253</v>
      </c>
      <c r="D19" s="880"/>
      <c r="E19" s="880"/>
      <c r="F19" s="880"/>
      <c r="G19" s="67">
        <f t="shared" si="1"/>
        <v>419991.69</v>
      </c>
      <c r="H19" s="67">
        <f t="shared" si="2"/>
        <v>469994.01</v>
      </c>
      <c r="I19" s="93">
        <v>280596.25</v>
      </c>
      <c r="J19" s="93">
        <v>279426.53000000003</v>
      </c>
      <c r="K19" s="93">
        <v>139395.44</v>
      </c>
      <c r="L19" s="93">
        <v>190567.48</v>
      </c>
      <c r="M19" s="93">
        <v>0</v>
      </c>
      <c r="N19" s="93">
        <v>0</v>
      </c>
      <c r="O19" s="20"/>
      <c r="P19" s="20"/>
      <c r="Q19" s="20"/>
    </row>
    <row r="20" spans="1:17" s="12" customFormat="1" ht="23.1" customHeight="1" thickBot="1" x14ac:dyDescent="0.35">
      <c r="A20" s="973" t="s">
        <v>209</v>
      </c>
      <c r="B20" s="974"/>
      <c r="C20" s="957" t="s">
        <v>424</v>
      </c>
      <c r="D20" s="957"/>
      <c r="E20" s="957"/>
      <c r="F20" s="957"/>
      <c r="G20" s="67">
        <f t="shared" si="1"/>
        <v>0</v>
      </c>
      <c r="H20" s="227">
        <f t="shared" si="2"/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20"/>
      <c r="P20" s="20"/>
      <c r="Q20" s="20"/>
    </row>
    <row r="21" spans="1:17" s="12" customFormat="1" ht="23.1" customHeight="1" x14ac:dyDescent="0.3">
      <c r="A21" s="958" t="s">
        <v>178</v>
      </c>
      <c r="B21" s="959"/>
      <c r="C21" s="885" t="s">
        <v>18</v>
      </c>
      <c r="D21" s="885"/>
      <c r="E21" s="885"/>
      <c r="F21" s="885"/>
      <c r="G21" s="229">
        <f>SUM(I21,K21,M21)</f>
        <v>326974.94</v>
      </c>
      <c r="H21" s="229">
        <f t="shared" si="2"/>
        <v>348454.49</v>
      </c>
      <c r="I21" s="455">
        <v>277178.52</v>
      </c>
      <c r="J21" s="455">
        <v>278671.56</v>
      </c>
      <c r="K21" s="455">
        <v>49796.42</v>
      </c>
      <c r="L21" s="455">
        <v>69782.929999999993</v>
      </c>
      <c r="M21" s="455">
        <v>0</v>
      </c>
      <c r="N21" s="456">
        <v>0</v>
      </c>
      <c r="O21" s="20"/>
      <c r="P21" s="20"/>
      <c r="Q21" s="20"/>
    </row>
    <row r="22" spans="1:17" s="12" customFormat="1" ht="23.1" customHeight="1" thickBot="1" x14ac:dyDescent="0.35">
      <c r="A22" s="960" t="s">
        <v>179</v>
      </c>
      <c r="B22" s="961"/>
      <c r="C22" s="946" t="s">
        <v>37</v>
      </c>
      <c r="D22" s="946"/>
      <c r="E22" s="946"/>
      <c r="F22" s="946"/>
      <c r="G22" s="113">
        <f>SUM(I22,K22,M22)</f>
        <v>0</v>
      </c>
      <c r="H22" s="113">
        <f t="shared" si="2"/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6">
        <v>0</v>
      </c>
      <c r="O22" s="20"/>
      <c r="P22" s="20"/>
      <c r="Q22" s="20"/>
    </row>
    <row r="23" spans="1:17" ht="34.35" customHeight="1" thickBot="1" x14ac:dyDescent="0.35">
      <c r="A23" s="89" t="s">
        <v>416</v>
      </c>
      <c r="B23" s="14"/>
      <c r="H23" s="118"/>
      <c r="L23" s="90"/>
      <c r="M23" s="922" t="s">
        <v>39</v>
      </c>
      <c r="N23" s="922"/>
    </row>
    <row r="24" spans="1:17" ht="31.35" customHeight="1" x14ac:dyDescent="0.25">
      <c r="A24" s="950" t="s">
        <v>40</v>
      </c>
      <c r="B24" s="948" t="s">
        <v>7</v>
      </c>
      <c r="C24" s="948"/>
      <c r="D24" s="948"/>
      <c r="E24" s="975" t="s">
        <v>319</v>
      </c>
      <c r="F24" s="886" t="s">
        <v>35</v>
      </c>
      <c r="G24" s="886" t="s">
        <v>36</v>
      </c>
      <c r="H24" s="886"/>
      <c r="I24" s="886" t="s">
        <v>15</v>
      </c>
      <c r="J24" s="886" t="s">
        <v>16</v>
      </c>
      <c r="K24" s="886" t="s">
        <v>17</v>
      </c>
      <c r="L24" s="886" t="s">
        <v>253</v>
      </c>
      <c r="M24" s="886"/>
      <c r="N24" s="977" t="s">
        <v>418</v>
      </c>
    </row>
    <row r="25" spans="1:17" ht="69.599999999999994" customHeight="1" x14ac:dyDescent="0.25">
      <c r="A25" s="951"/>
      <c r="B25" s="949"/>
      <c r="C25" s="949"/>
      <c r="D25" s="949"/>
      <c r="E25" s="976"/>
      <c r="F25" s="967"/>
      <c r="G25" s="534" t="s">
        <v>558</v>
      </c>
      <c r="H25" s="491" t="s">
        <v>448</v>
      </c>
      <c r="I25" s="967"/>
      <c r="J25" s="967"/>
      <c r="K25" s="967"/>
      <c r="L25" s="166" t="s">
        <v>559</v>
      </c>
      <c r="M25" s="491" t="s">
        <v>449</v>
      </c>
      <c r="N25" s="978"/>
    </row>
    <row r="26" spans="1:17" ht="25.35" customHeight="1" x14ac:dyDescent="0.25">
      <c r="A26" s="490">
        <v>1</v>
      </c>
      <c r="B26" s="962">
        <v>2</v>
      </c>
      <c r="C26" s="963"/>
      <c r="D26" s="964"/>
      <c r="E26" s="168">
        <v>3</v>
      </c>
      <c r="F26" s="198">
        <v>4</v>
      </c>
      <c r="G26" s="168">
        <v>5</v>
      </c>
      <c r="H26" s="198">
        <v>6</v>
      </c>
      <c r="I26" s="168">
        <v>7</v>
      </c>
      <c r="J26" s="198">
        <v>8</v>
      </c>
      <c r="K26" s="168">
        <v>9</v>
      </c>
      <c r="L26" s="198">
        <v>10</v>
      </c>
      <c r="M26" s="168">
        <v>11</v>
      </c>
      <c r="N26" s="208">
        <v>12</v>
      </c>
    </row>
    <row r="27" spans="1:17" ht="29.1" customHeight="1" x14ac:dyDescent="0.25">
      <c r="A27" s="490">
        <v>1</v>
      </c>
      <c r="B27" s="836" t="s">
        <v>41</v>
      </c>
      <c r="C27" s="836"/>
      <c r="D27" s="836"/>
      <c r="E27" s="172">
        <f>SUM(F27:M27)</f>
        <v>87.5</v>
      </c>
      <c r="F27" s="173">
        <f>F29+F31+F33</f>
        <v>2</v>
      </c>
      <c r="G27" s="173">
        <f t="shared" ref="G27:N27" si="3">G29+G31+G33</f>
        <v>2</v>
      </c>
      <c r="H27" s="173">
        <f t="shared" si="3"/>
        <v>0</v>
      </c>
      <c r="I27" s="173">
        <f t="shared" si="3"/>
        <v>8.5</v>
      </c>
      <c r="J27" s="173">
        <f t="shared" si="3"/>
        <v>34.5</v>
      </c>
      <c r="K27" s="173">
        <f t="shared" si="3"/>
        <v>10.5</v>
      </c>
      <c r="L27" s="173">
        <f t="shared" si="3"/>
        <v>29</v>
      </c>
      <c r="M27" s="173">
        <f t="shared" si="3"/>
        <v>1</v>
      </c>
      <c r="N27" s="174">
        <f t="shared" si="3"/>
        <v>41829</v>
      </c>
    </row>
    <row r="28" spans="1:17" ht="29.1" customHeight="1" x14ac:dyDescent="0.25">
      <c r="A28" s="490"/>
      <c r="B28" s="970" t="s">
        <v>419</v>
      </c>
      <c r="C28" s="970"/>
      <c r="D28" s="970"/>
      <c r="E28" s="172">
        <f>SUM(F28:M28)</f>
        <v>0</v>
      </c>
      <c r="F28" s="173">
        <f>F30+F32+F34</f>
        <v>0</v>
      </c>
      <c r="G28" s="173">
        <f t="shared" ref="G28:N28" si="4">G30+G32+G34</f>
        <v>0</v>
      </c>
      <c r="H28" s="173">
        <f t="shared" si="4"/>
        <v>0</v>
      </c>
      <c r="I28" s="173">
        <f t="shared" si="4"/>
        <v>0</v>
      </c>
      <c r="J28" s="173">
        <f t="shared" si="4"/>
        <v>0</v>
      </c>
      <c r="K28" s="173">
        <f t="shared" si="4"/>
        <v>0</v>
      </c>
      <c r="L28" s="173">
        <f t="shared" si="4"/>
        <v>0</v>
      </c>
      <c r="M28" s="173">
        <f t="shared" si="4"/>
        <v>0</v>
      </c>
      <c r="N28" s="174">
        <f t="shared" si="4"/>
        <v>0</v>
      </c>
    </row>
    <row r="29" spans="1:17" ht="29.1" customHeight="1" x14ac:dyDescent="0.25">
      <c r="A29" s="490" t="s">
        <v>93</v>
      </c>
      <c r="B29" s="836" t="s">
        <v>417</v>
      </c>
      <c r="C29" s="836"/>
      <c r="D29" s="836"/>
      <c r="E29" s="172">
        <f t="shared" ref="E29:E34" si="5">SUM(F29:M29)</f>
        <v>85.5</v>
      </c>
      <c r="F29" s="170">
        <v>2</v>
      </c>
      <c r="G29" s="170">
        <v>2</v>
      </c>
      <c r="H29" s="170">
        <v>0</v>
      </c>
      <c r="I29" s="170">
        <v>8.5</v>
      </c>
      <c r="J29" s="170">
        <v>34.5</v>
      </c>
      <c r="K29" s="170">
        <v>10.5</v>
      </c>
      <c r="L29" s="170">
        <v>27</v>
      </c>
      <c r="M29" s="170">
        <v>1</v>
      </c>
      <c r="N29" s="171">
        <v>41509</v>
      </c>
    </row>
    <row r="30" spans="1:17" ht="29.1" customHeight="1" x14ac:dyDescent="0.25">
      <c r="A30" s="490"/>
      <c r="B30" s="971" t="s">
        <v>419</v>
      </c>
      <c r="C30" s="971"/>
      <c r="D30" s="971"/>
      <c r="E30" s="172">
        <f t="shared" si="5"/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1">
        <v>0</v>
      </c>
    </row>
    <row r="31" spans="1:17" ht="29.1" customHeight="1" x14ac:dyDescent="0.25">
      <c r="A31" s="490" t="s">
        <v>94</v>
      </c>
      <c r="B31" s="836" t="s">
        <v>42</v>
      </c>
      <c r="C31" s="836"/>
      <c r="D31" s="836"/>
      <c r="E31" s="172">
        <f t="shared" si="5"/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1">
        <v>0</v>
      </c>
    </row>
    <row r="32" spans="1:17" ht="29.1" customHeight="1" x14ac:dyDescent="0.25">
      <c r="A32" s="490"/>
      <c r="B32" s="971" t="s">
        <v>419</v>
      </c>
      <c r="C32" s="971"/>
      <c r="D32" s="971"/>
      <c r="E32" s="172">
        <f t="shared" si="5"/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1">
        <v>0</v>
      </c>
    </row>
    <row r="33" spans="1:22" s="16" customFormat="1" ht="44.45" customHeight="1" x14ac:dyDescent="0.25">
      <c r="A33" s="490" t="s">
        <v>95</v>
      </c>
      <c r="B33" s="836" t="s">
        <v>43</v>
      </c>
      <c r="C33" s="836"/>
      <c r="D33" s="836"/>
      <c r="E33" s="172">
        <f t="shared" si="5"/>
        <v>2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2</v>
      </c>
      <c r="M33" s="170">
        <v>0</v>
      </c>
      <c r="N33" s="171">
        <v>320</v>
      </c>
      <c r="O33" s="76"/>
      <c r="P33" s="76"/>
      <c r="Q33" s="76"/>
      <c r="R33" s="2"/>
      <c r="S33" s="2"/>
      <c r="T33" s="2"/>
      <c r="U33" s="2"/>
      <c r="V33" s="2"/>
    </row>
    <row r="34" spans="1:22" s="16" customFormat="1" ht="29.1" customHeight="1" thickBot="1" x14ac:dyDescent="0.3">
      <c r="A34" s="60"/>
      <c r="B34" s="947" t="s">
        <v>419</v>
      </c>
      <c r="C34" s="947"/>
      <c r="D34" s="947"/>
      <c r="E34" s="275">
        <f t="shared" si="5"/>
        <v>0</v>
      </c>
      <c r="F34" s="499">
        <v>0</v>
      </c>
      <c r="G34" s="499">
        <v>0</v>
      </c>
      <c r="H34" s="499">
        <v>0</v>
      </c>
      <c r="I34" s="499">
        <v>0</v>
      </c>
      <c r="J34" s="499">
        <v>0</v>
      </c>
      <c r="K34" s="499">
        <v>0</v>
      </c>
      <c r="L34" s="499">
        <v>0</v>
      </c>
      <c r="M34" s="499">
        <v>0</v>
      </c>
      <c r="N34" s="500">
        <v>0</v>
      </c>
      <c r="O34" s="76"/>
      <c r="P34" s="76"/>
      <c r="Q34" s="76"/>
      <c r="R34" s="2"/>
      <c r="S34" s="2"/>
      <c r="T34" s="2"/>
      <c r="U34" s="2"/>
      <c r="V34" s="2"/>
    </row>
    <row r="35" spans="1:22" s="18" customFormat="1" ht="30.6" customHeight="1" thickBot="1" x14ac:dyDescent="0.3">
      <c r="A35" s="898" t="s">
        <v>577</v>
      </c>
      <c r="B35" s="898"/>
      <c r="C35" s="898"/>
      <c r="D35" s="898"/>
      <c r="E35" s="492"/>
      <c r="F35" s="493"/>
      <c r="G35" s="493"/>
      <c r="H35" s="493"/>
      <c r="I35" s="493"/>
      <c r="J35" s="493"/>
      <c r="K35" s="493"/>
      <c r="L35" s="493"/>
      <c r="M35" s="493"/>
      <c r="N35" s="493"/>
      <c r="O35" s="501"/>
      <c r="P35" s="501"/>
      <c r="Q35" s="501"/>
      <c r="R35" s="4"/>
      <c r="S35" s="4"/>
      <c r="T35" s="4"/>
      <c r="U35" s="4"/>
      <c r="V35" s="4"/>
    </row>
    <row r="36" spans="1:22" s="16" customFormat="1" ht="30" customHeight="1" x14ac:dyDescent="0.25">
      <c r="A36" s="965" t="s">
        <v>40</v>
      </c>
      <c r="B36" s="852" t="s">
        <v>7</v>
      </c>
      <c r="C36" s="852"/>
      <c r="D36" s="852"/>
      <c r="E36" s="806" t="s">
        <v>319</v>
      </c>
      <c r="F36" s="886" t="s">
        <v>35</v>
      </c>
      <c r="G36" s="886" t="s">
        <v>36</v>
      </c>
      <c r="H36" s="886" t="s">
        <v>15</v>
      </c>
      <c r="I36" s="886" t="s">
        <v>16</v>
      </c>
      <c r="J36" s="886" t="s">
        <v>17</v>
      </c>
      <c r="K36" s="977" t="s">
        <v>253</v>
      </c>
      <c r="L36" s="496"/>
      <c r="M36" s="496"/>
      <c r="N36" s="979"/>
      <c r="O36" s="76"/>
      <c r="P36" s="76"/>
      <c r="Q36" s="76"/>
      <c r="R36" s="2"/>
      <c r="S36" s="2"/>
      <c r="T36" s="2"/>
      <c r="U36" s="2"/>
      <c r="V36" s="2"/>
    </row>
    <row r="37" spans="1:22" s="16" customFormat="1" ht="26.45" customHeight="1" x14ac:dyDescent="0.25">
      <c r="A37" s="966"/>
      <c r="B37" s="853"/>
      <c r="C37" s="853"/>
      <c r="D37" s="853"/>
      <c r="E37" s="818"/>
      <c r="F37" s="967"/>
      <c r="G37" s="967"/>
      <c r="H37" s="967"/>
      <c r="I37" s="967"/>
      <c r="J37" s="967"/>
      <c r="K37" s="978"/>
      <c r="L37" s="497"/>
      <c r="M37" s="213"/>
      <c r="N37" s="979"/>
      <c r="O37" s="76"/>
      <c r="P37" s="76"/>
      <c r="Q37" s="76"/>
      <c r="R37" s="2"/>
      <c r="S37" s="2"/>
      <c r="T37" s="2"/>
      <c r="U37" s="2"/>
      <c r="V37" s="2"/>
    </row>
    <row r="38" spans="1:22" s="16" customFormat="1" ht="21" customHeight="1" x14ac:dyDescent="0.25">
      <c r="A38" s="590">
        <v>1</v>
      </c>
      <c r="B38" s="897">
        <v>2</v>
      </c>
      <c r="C38" s="897"/>
      <c r="D38" s="897"/>
      <c r="E38" s="591">
        <v>3</v>
      </c>
      <c r="F38" s="592">
        <v>4</v>
      </c>
      <c r="G38" s="591">
        <v>5</v>
      </c>
      <c r="H38" s="592">
        <v>6</v>
      </c>
      <c r="I38" s="591">
        <v>7</v>
      </c>
      <c r="J38" s="592">
        <v>8</v>
      </c>
      <c r="K38" s="593">
        <v>9</v>
      </c>
      <c r="L38" s="494"/>
      <c r="M38" s="498"/>
      <c r="N38" s="494"/>
      <c r="O38" s="76"/>
      <c r="P38" s="76"/>
      <c r="Q38" s="76"/>
      <c r="R38" s="2"/>
      <c r="S38" s="2"/>
      <c r="T38" s="2"/>
      <c r="U38" s="2"/>
      <c r="V38" s="2"/>
    </row>
    <row r="39" spans="1:22" s="16" customFormat="1" ht="20.25" x14ac:dyDescent="0.25">
      <c r="A39" s="504">
        <v>1</v>
      </c>
      <c r="B39" s="980" t="s">
        <v>560</v>
      </c>
      <c r="C39" s="980"/>
      <c r="D39" s="980"/>
      <c r="E39" s="505">
        <f>H8/E27/3</f>
        <v>6046.6604190476201</v>
      </c>
      <c r="F39" s="506">
        <f>(H9)/F27/3</f>
        <v>11784.621666666666</v>
      </c>
      <c r="G39" s="506">
        <f>H11/(G27+H27)/3</f>
        <v>8684.0983333333334</v>
      </c>
      <c r="H39" s="506">
        <f>(H13)/I27/3</f>
        <v>8568.7082352941179</v>
      </c>
      <c r="I39" s="506">
        <f>(H15)/J27/3</f>
        <v>6028.246473429951</v>
      </c>
      <c r="J39" s="506">
        <f>(H17)/K27/3</f>
        <v>4825.919365079365</v>
      </c>
      <c r="K39" s="507">
        <f>H19/(L27+M27)/3</f>
        <v>5222.1556666666665</v>
      </c>
      <c r="L39" s="495"/>
      <c r="M39" s="495"/>
      <c r="N39" s="495"/>
      <c r="O39" s="76"/>
      <c r="P39" s="76"/>
      <c r="Q39" s="76"/>
      <c r="R39" s="2"/>
      <c r="S39" s="2"/>
      <c r="T39" s="2"/>
      <c r="U39" s="2"/>
      <c r="V39" s="2"/>
    </row>
    <row r="40" spans="1:22" s="16" customFormat="1" ht="25.35" customHeight="1" thickBot="1" x14ac:dyDescent="0.3">
      <c r="A40" s="508">
        <v>2</v>
      </c>
      <c r="B40" s="981" t="s">
        <v>561</v>
      </c>
      <c r="C40" s="981"/>
      <c r="D40" s="981"/>
      <c r="E40" s="509" t="e">
        <f>(H10+H12+H14+H16+H18+H20)/E28/3</f>
        <v>#DIV/0!</v>
      </c>
      <c r="F40" s="510" t="e">
        <f>H10/F28/3</f>
        <v>#DIV/0!</v>
      </c>
      <c r="G40" s="510" t="e">
        <f>H12/(G28+H28)/3</f>
        <v>#DIV/0!</v>
      </c>
      <c r="H40" s="510" t="e">
        <f>(H14)/I28/3</f>
        <v>#DIV/0!</v>
      </c>
      <c r="I40" s="510" t="e">
        <f>(H16)/J28/3</f>
        <v>#DIV/0!</v>
      </c>
      <c r="J40" s="510" t="e">
        <f>(H18)/K28/3</f>
        <v>#DIV/0!</v>
      </c>
      <c r="K40" s="511" t="e">
        <f>H20/(L28+M28)/3</f>
        <v>#DIV/0!</v>
      </c>
      <c r="L40" s="495"/>
      <c r="M40" s="495"/>
      <c r="N40" s="495"/>
      <c r="O40" s="76"/>
      <c r="P40" s="76"/>
      <c r="Q40" s="76"/>
      <c r="R40" s="2"/>
      <c r="S40" s="2"/>
      <c r="T40" s="2"/>
      <c r="U40" s="2"/>
      <c r="V40" s="2"/>
    </row>
    <row r="41" spans="1:22" s="16" customFormat="1" ht="19.350000000000001" customHeight="1" x14ac:dyDescent="0.25">
      <c r="A41" s="972" t="s">
        <v>562</v>
      </c>
      <c r="B41" s="972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2"/>
      <c r="O41" s="76"/>
      <c r="P41" s="76"/>
      <c r="Q41" s="76"/>
      <c r="R41" s="2"/>
      <c r="S41" s="2"/>
      <c r="T41" s="2"/>
      <c r="U41" s="2"/>
      <c r="V41" s="2"/>
    </row>
    <row r="42" spans="1:22" s="16" customFormat="1" ht="19.350000000000001" customHeight="1" x14ac:dyDescent="0.25">
      <c r="A42" s="969" t="s">
        <v>563</v>
      </c>
      <c r="B42" s="969"/>
      <c r="C42" s="969"/>
      <c r="D42" s="969"/>
      <c r="E42" s="969"/>
      <c r="F42" s="969"/>
      <c r="G42" s="969"/>
      <c r="H42" s="969"/>
      <c r="I42" s="969"/>
      <c r="J42" s="969"/>
      <c r="K42" s="969"/>
      <c r="L42" s="969"/>
      <c r="M42" s="969"/>
      <c r="N42" s="2"/>
      <c r="O42" s="76"/>
      <c r="P42" s="76"/>
      <c r="Q42" s="76"/>
      <c r="R42" s="2"/>
      <c r="S42" s="2"/>
      <c r="T42" s="2"/>
      <c r="U42" s="2"/>
      <c r="V42" s="2"/>
    </row>
    <row r="43" spans="1:22" s="16" customFormat="1" ht="19.350000000000001" customHeight="1" x14ac:dyDescent="0.25">
      <c r="A43" s="968" t="s">
        <v>564</v>
      </c>
      <c r="B43" s="968"/>
      <c r="C43" s="968"/>
      <c r="D43" s="968"/>
      <c r="E43" s="968"/>
      <c r="F43" s="968"/>
      <c r="G43" s="968"/>
      <c r="H43" s="968"/>
      <c r="I43" s="968"/>
      <c r="J43" s="968"/>
      <c r="K43" s="968"/>
      <c r="L43" s="18"/>
      <c r="M43" s="18"/>
      <c r="N43" s="2"/>
      <c r="O43" s="76"/>
      <c r="P43" s="76"/>
      <c r="Q43" s="76"/>
      <c r="R43" s="2"/>
      <c r="S43" s="2"/>
      <c r="T43" s="2"/>
      <c r="U43" s="2"/>
      <c r="V43" s="2"/>
    </row>
    <row r="44" spans="1:22" s="16" customFormat="1" ht="21" x14ac:dyDescent="0.35">
      <c r="A44" s="160" t="s">
        <v>202</v>
      </c>
      <c r="B44" s="29"/>
      <c r="C44" s="17"/>
      <c r="D44" s="15"/>
      <c r="E44" s="8"/>
      <c r="F44" s="4"/>
      <c r="G44" s="4"/>
      <c r="H44" s="4"/>
      <c r="I44" s="4"/>
      <c r="J44" s="4"/>
      <c r="K44" s="4"/>
      <c r="L44" s="18"/>
      <c r="N44" s="2"/>
      <c r="O44" s="76"/>
      <c r="P44" s="76"/>
      <c r="Q44" s="76"/>
      <c r="R44" s="2"/>
      <c r="S44" s="2"/>
      <c r="T44" s="2"/>
      <c r="U44" s="2"/>
      <c r="V44" s="2"/>
    </row>
    <row r="45" spans="1:22" s="16" customFormat="1" ht="30" customHeight="1" thickBot="1" x14ac:dyDescent="0.35">
      <c r="A45" s="16" t="s">
        <v>427</v>
      </c>
      <c r="B45" s="29"/>
      <c r="C45" s="17" t="s">
        <v>441</v>
      </c>
      <c r="D45" s="15"/>
      <c r="E45" s="8"/>
      <c r="F45" s="4"/>
      <c r="G45" s="4"/>
      <c r="H45" s="4"/>
      <c r="I45" s="4"/>
      <c r="J45" s="4"/>
      <c r="K45" s="4"/>
      <c r="L45" s="18"/>
      <c r="N45" s="2"/>
      <c r="O45" s="76"/>
      <c r="P45" s="76"/>
      <c r="Q45" s="76"/>
      <c r="R45" s="2"/>
      <c r="S45" s="2"/>
      <c r="T45" s="2"/>
      <c r="U45" s="2"/>
      <c r="V45" s="2"/>
    </row>
    <row r="46" spans="1:22" s="16" customFormat="1" ht="60.75" x14ac:dyDescent="0.25">
      <c r="A46" s="937" t="s">
        <v>92</v>
      </c>
      <c r="B46" s="938"/>
      <c r="C46" s="939" t="s">
        <v>7</v>
      </c>
      <c r="D46" s="940"/>
      <c r="E46" s="940"/>
      <c r="F46" s="940"/>
      <c r="G46" s="941"/>
      <c r="H46" s="163" t="s">
        <v>91</v>
      </c>
      <c r="I46" s="164" t="s">
        <v>8</v>
      </c>
      <c r="J46" s="920"/>
      <c r="K46" s="921"/>
      <c r="L46" s="921"/>
      <c r="M46" s="921"/>
      <c r="N46" s="921"/>
      <c r="O46" s="76"/>
      <c r="P46" s="76"/>
      <c r="Q46" s="76"/>
      <c r="R46" s="2"/>
      <c r="S46" s="2"/>
      <c r="T46" s="2"/>
      <c r="U46" s="2"/>
      <c r="V46" s="2"/>
    </row>
    <row r="47" spans="1:22" s="16" customFormat="1" ht="32.450000000000003" customHeight="1" x14ac:dyDescent="0.25">
      <c r="A47" s="942">
        <v>1</v>
      </c>
      <c r="B47" s="943"/>
      <c r="C47" s="944" t="s">
        <v>422</v>
      </c>
      <c r="D47" s="945"/>
      <c r="E47" s="945"/>
      <c r="F47" s="945"/>
      <c r="G47" s="945"/>
      <c r="H47" s="194">
        <v>0</v>
      </c>
      <c r="I47" s="195">
        <v>0</v>
      </c>
      <c r="J47" s="4"/>
      <c r="K47" s="4"/>
      <c r="L47" s="18"/>
      <c r="N47" s="2"/>
      <c r="O47" s="76"/>
      <c r="P47" s="76"/>
      <c r="Q47" s="76"/>
      <c r="R47" s="2"/>
      <c r="S47" s="2"/>
      <c r="T47" s="2"/>
      <c r="U47" s="2"/>
      <c r="V47" s="2"/>
    </row>
    <row r="48" spans="1:22" s="16" customFormat="1" ht="29.45" customHeight="1" thickBot="1" x14ac:dyDescent="0.3">
      <c r="A48" s="952">
        <v>2</v>
      </c>
      <c r="B48" s="953"/>
      <c r="C48" s="954" t="s">
        <v>423</v>
      </c>
      <c r="D48" s="955"/>
      <c r="E48" s="955"/>
      <c r="F48" s="955"/>
      <c r="G48" s="956"/>
      <c r="H48" s="196">
        <v>0</v>
      </c>
      <c r="I48" s="197">
        <v>0</v>
      </c>
      <c r="J48" s="4"/>
      <c r="K48" s="4"/>
      <c r="L48" s="18"/>
      <c r="N48" s="2"/>
      <c r="O48" s="76"/>
      <c r="P48" s="76"/>
      <c r="Q48" s="76"/>
      <c r="R48" s="2"/>
      <c r="S48" s="2"/>
      <c r="T48" s="2"/>
      <c r="U48" s="2"/>
      <c r="V48" s="2"/>
    </row>
    <row r="49" spans="1:22" s="16" customFormat="1" ht="29.45" customHeight="1" x14ac:dyDescent="0.25">
      <c r="A49" s="118"/>
      <c r="B49" s="118"/>
      <c r="C49" s="159"/>
      <c r="D49" s="159"/>
      <c r="E49" s="159"/>
      <c r="F49" s="159"/>
      <c r="G49" s="159"/>
      <c r="H49" s="4"/>
      <c r="I49" s="4"/>
      <c r="J49" s="4"/>
      <c r="K49" s="4"/>
      <c r="L49" s="18"/>
      <c r="N49" s="2"/>
      <c r="O49" s="76"/>
      <c r="P49" s="76"/>
      <c r="Q49" s="76"/>
      <c r="R49" s="2"/>
      <c r="S49" s="2"/>
      <c r="T49" s="2"/>
      <c r="U49" s="2"/>
      <c r="V49" s="2"/>
    </row>
    <row r="50" spans="1:22" s="186" customFormat="1" ht="42" customHeight="1" x14ac:dyDescent="0.25">
      <c r="N50" s="183"/>
      <c r="O50" s="184"/>
      <c r="P50" s="184"/>
      <c r="Q50" s="184"/>
      <c r="R50" s="183"/>
      <c r="S50" s="183"/>
      <c r="T50" s="183"/>
      <c r="U50" s="183"/>
      <c r="V50" s="183"/>
    </row>
    <row r="51" spans="1:22" s="186" customFormat="1" ht="33" customHeight="1" x14ac:dyDescent="0.25">
      <c r="N51" s="183"/>
      <c r="O51" s="184"/>
      <c r="P51" s="184"/>
      <c r="Q51" s="184"/>
      <c r="R51" s="183"/>
      <c r="S51" s="183"/>
      <c r="T51" s="183"/>
      <c r="U51" s="183"/>
      <c r="V51" s="183"/>
    </row>
    <row r="52" spans="1:22" s="186" customFormat="1" x14ac:dyDescent="0.25">
      <c r="N52" s="183"/>
      <c r="O52" s="184"/>
      <c r="P52" s="184"/>
      <c r="Q52" s="184"/>
      <c r="R52" s="183"/>
      <c r="S52" s="183"/>
      <c r="T52" s="183"/>
      <c r="U52" s="183"/>
      <c r="V52" s="183"/>
    </row>
    <row r="53" spans="1:22" s="186" customFormat="1" ht="18" customHeight="1" x14ac:dyDescent="0.25">
      <c r="N53" s="183"/>
      <c r="O53" s="184"/>
      <c r="P53" s="184"/>
      <c r="Q53" s="184"/>
      <c r="R53" s="183"/>
      <c r="S53" s="183"/>
      <c r="T53" s="183"/>
      <c r="U53" s="183"/>
      <c r="V53" s="183"/>
    </row>
    <row r="54" spans="1:22" s="186" customFormat="1" ht="18" customHeight="1" x14ac:dyDescent="0.25">
      <c r="L54" s="253"/>
      <c r="N54" s="183"/>
      <c r="O54" s="184"/>
      <c r="P54" s="184"/>
      <c r="Q54" s="184"/>
      <c r="R54" s="183"/>
      <c r="S54" s="183"/>
      <c r="T54" s="183"/>
      <c r="U54" s="183"/>
      <c r="V54" s="183"/>
    </row>
    <row r="55" spans="1:22" s="186" customFormat="1" x14ac:dyDescent="0.25">
      <c r="A55" s="254"/>
      <c r="B55" s="255"/>
      <c r="C55" s="256"/>
      <c r="D55" s="183"/>
      <c r="E55" s="187"/>
      <c r="F55" s="187"/>
      <c r="G55" s="187"/>
      <c r="H55" s="183"/>
      <c r="I55" s="183"/>
      <c r="J55" s="183"/>
      <c r="K55" s="183"/>
      <c r="N55" s="183"/>
      <c r="O55" s="184"/>
      <c r="P55" s="184"/>
      <c r="Q55" s="184"/>
      <c r="R55" s="183"/>
      <c r="S55" s="183"/>
      <c r="T55" s="183"/>
      <c r="U55" s="183"/>
      <c r="V55" s="183"/>
    </row>
    <row r="56" spans="1:22" s="186" customFormat="1" x14ac:dyDescent="0.25">
      <c r="A56" s="254"/>
      <c r="B56" s="255"/>
      <c r="C56" s="256"/>
      <c r="D56" s="183"/>
      <c r="E56" s="187"/>
      <c r="F56" s="187"/>
      <c r="G56" s="187"/>
      <c r="H56" s="183"/>
      <c r="I56" s="183"/>
      <c r="J56" s="183"/>
      <c r="K56" s="183"/>
      <c r="N56" s="183"/>
      <c r="O56" s="184"/>
      <c r="P56" s="184"/>
      <c r="Q56" s="184"/>
      <c r="R56" s="183"/>
      <c r="S56" s="183"/>
      <c r="T56" s="183"/>
      <c r="U56" s="183"/>
      <c r="V56" s="183"/>
    </row>
    <row r="57" spans="1:22" s="186" customFormat="1" x14ac:dyDescent="0.25">
      <c r="A57" s="254"/>
      <c r="B57" s="255"/>
      <c r="C57" s="256"/>
      <c r="D57" s="183"/>
      <c r="E57" s="187"/>
      <c r="F57" s="187"/>
      <c r="G57" s="187"/>
      <c r="H57" s="183"/>
      <c r="I57" s="183"/>
      <c r="J57" s="183"/>
      <c r="K57" s="183"/>
      <c r="N57" s="183"/>
      <c r="O57" s="184"/>
      <c r="P57" s="184"/>
      <c r="Q57" s="184"/>
      <c r="R57" s="183"/>
      <c r="S57" s="183"/>
      <c r="T57" s="183"/>
      <c r="U57" s="183"/>
      <c r="V57" s="183"/>
    </row>
    <row r="58" spans="1:22" s="186" customFormat="1" x14ac:dyDescent="0.25">
      <c r="A58" s="254"/>
      <c r="B58" s="255"/>
      <c r="C58" s="256"/>
      <c r="D58" s="183"/>
      <c r="E58" s="187"/>
      <c r="F58" s="187"/>
      <c r="G58" s="187"/>
      <c r="H58" s="183"/>
      <c r="I58" s="183"/>
      <c r="J58" s="183"/>
      <c r="K58" s="183"/>
      <c r="N58" s="183"/>
      <c r="O58" s="184"/>
      <c r="P58" s="184"/>
      <c r="Q58" s="184"/>
      <c r="R58" s="183"/>
      <c r="S58" s="183"/>
      <c r="T58" s="183"/>
      <c r="U58" s="183"/>
      <c r="V58" s="183"/>
    </row>
    <row r="59" spans="1:22" s="183" customFormat="1" x14ac:dyDescent="0.25">
      <c r="J59" s="188"/>
      <c r="K59" s="188"/>
      <c r="L59" s="253"/>
      <c r="M59" s="186"/>
      <c r="O59" s="184"/>
      <c r="P59" s="184"/>
      <c r="Q59" s="184"/>
    </row>
    <row r="60" spans="1:22" s="183" customFormat="1" ht="25.35" customHeight="1" x14ac:dyDescent="0.25">
      <c r="J60" s="188"/>
      <c r="K60" s="188"/>
      <c r="L60" s="253"/>
      <c r="M60" s="186"/>
      <c r="O60" s="184"/>
      <c r="P60" s="184"/>
      <c r="Q60" s="184"/>
    </row>
    <row r="61" spans="1:22" s="183" customFormat="1" ht="27.6" customHeight="1" x14ac:dyDescent="0.25">
      <c r="J61" s="188"/>
      <c r="K61" s="188"/>
      <c r="L61" s="253"/>
      <c r="M61" s="186"/>
      <c r="O61" s="184"/>
      <c r="P61" s="184"/>
      <c r="Q61" s="184"/>
    </row>
    <row r="62" spans="1:22" s="186" customFormat="1" x14ac:dyDescent="0.25">
      <c r="A62" s="254"/>
      <c r="B62" s="255"/>
      <c r="C62" s="256"/>
      <c r="D62" s="183"/>
      <c r="E62" s="187"/>
      <c r="F62" s="187"/>
      <c r="G62" s="187"/>
      <c r="H62" s="183"/>
      <c r="I62" s="183"/>
      <c r="J62" s="183"/>
      <c r="K62" s="183"/>
      <c r="N62" s="183"/>
      <c r="O62" s="184"/>
      <c r="P62" s="184"/>
      <c r="Q62" s="184"/>
      <c r="R62" s="183"/>
      <c r="S62" s="183"/>
      <c r="T62" s="183"/>
      <c r="U62" s="183"/>
      <c r="V62" s="183"/>
    </row>
    <row r="63" spans="1:22" s="186" customFormat="1" x14ac:dyDescent="0.25">
      <c r="A63" s="254"/>
      <c r="B63" s="255"/>
      <c r="C63" s="256"/>
      <c r="D63" s="183"/>
      <c r="E63" s="187"/>
      <c r="F63" s="187"/>
      <c r="G63" s="187"/>
      <c r="H63" s="183"/>
      <c r="I63" s="183"/>
      <c r="J63" s="183"/>
      <c r="K63" s="183"/>
      <c r="N63" s="183"/>
      <c r="O63" s="184"/>
      <c r="P63" s="184"/>
      <c r="Q63" s="184"/>
      <c r="R63" s="183"/>
      <c r="S63" s="183"/>
      <c r="T63" s="183"/>
      <c r="U63" s="183"/>
      <c r="V63" s="183"/>
    </row>
    <row r="64" spans="1:22" s="186" customFormat="1" x14ac:dyDescent="0.25">
      <c r="A64" s="254"/>
      <c r="B64" s="255"/>
      <c r="C64" s="256"/>
      <c r="D64" s="183"/>
      <c r="E64" s="187"/>
      <c r="F64" s="187"/>
      <c r="G64" s="187"/>
      <c r="H64" s="183"/>
      <c r="I64" s="183"/>
      <c r="J64" s="183"/>
      <c r="K64" s="183"/>
      <c r="N64" s="183"/>
      <c r="O64" s="184"/>
      <c r="P64" s="184"/>
      <c r="Q64" s="184"/>
      <c r="R64" s="183"/>
      <c r="S64" s="183"/>
      <c r="T64" s="183"/>
      <c r="U64" s="183"/>
      <c r="V64" s="183"/>
    </row>
    <row r="65" spans="1:22" s="186" customFormat="1" x14ac:dyDescent="0.25">
      <c r="A65" s="254"/>
      <c r="B65" s="255"/>
      <c r="C65" s="256"/>
      <c r="D65" s="183"/>
      <c r="E65" s="187"/>
      <c r="F65" s="187"/>
      <c r="G65" s="187"/>
      <c r="H65" s="183"/>
      <c r="I65" s="183"/>
      <c r="J65" s="183"/>
      <c r="K65" s="183"/>
      <c r="N65" s="183"/>
      <c r="O65" s="184"/>
      <c r="P65" s="184"/>
      <c r="Q65" s="184"/>
      <c r="R65" s="183"/>
      <c r="S65" s="183"/>
      <c r="T65" s="183"/>
      <c r="U65" s="183"/>
      <c r="V65" s="183"/>
    </row>
    <row r="66" spans="1:22" s="186" customFormat="1" x14ac:dyDescent="0.25">
      <c r="A66" s="254"/>
      <c r="B66" s="255"/>
      <c r="C66" s="256"/>
      <c r="D66" s="183"/>
      <c r="E66" s="187"/>
      <c r="F66" s="187"/>
      <c r="G66" s="187"/>
      <c r="H66" s="183"/>
      <c r="I66" s="183"/>
      <c r="J66" s="183"/>
      <c r="K66" s="183"/>
      <c r="N66" s="183"/>
      <c r="O66" s="184"/>
      <c r="P66" s="184"/>
      <c r="Q66" s="184"/>
      <c r="R66" s="183"/>
      <c r="S66" s="183"/>
      <c r="T66" s="183"/>
      <c r="U66" s="183"/>
      <c r="V66" s="183"/>
    </row>
    <row r="67" spans="1:22" s="183" customFormat="1" x14ac:dyDescent="0.25">
      <c r="A67" s="254"/>
      <c r="B67" s="255"/>
      <c r="C67" s="256"/>
      <c r="E67" s="187"/>
      <c r="F67" s="187"/>
      <c r="G67" s="187"/>
      <c r="H67" s="188"/>
      <c r="I67" s="188"/>
      <c r="J67" s="188"/>
      <c r="K67" s="188"/>
      <c r="L67" s="253"/>
      <c r="M67" s="186"/>
      <c r="O67" s="184"/>
      <c r="P67" s="184"/>
      <c r="Q67" s="184"/>
    </row>
    <row r="68" spans="1:22" s="183" customFormat="1" x14ac:dyDescent="0.25">
      <c r="A68" s="254"/>
      <c r="B68" s="255"/>
      <c r="C68" s="256"/>
      <c r="E68" s="187"/>
      <c r="F68" s="187"/>
      <c r="G68" s="187"/>
      <c r="H68" s="188"/>
      <c r="I68" s="188"/>
      <c r="J68" s="188"/>
      <c r="K68" s="188"/>
      <c r="L68" s="253"/>
      <c r="M68" s="186"/>
      <c r="O68" s="184"/>
      <c r="P68" s="184"/>
      <c r="Q68" s="184"/>
    </row>
    <row r="69" spans="1:22" s="183" customFormat="1" x14ac:dyDescent="0.25">
      <c r="A69" s="254"/>
      <c r="B69" s="255"/>
      <c r="C69" s="256"/>
      <c r="E69" s="187"/>
      <c r="F69" s="187"/>
      <c r="G69" s="187"/>
      <c r="H69" s="188"/>
      <c r="I69" s="188"/>
      <c r="J69" s="188"/>
      <c r="K69" s="188"/>
      <c r="L69" s="253"/>
      <c r="M69" s="186"/>
      <c r="O69" s="184"/>
      <c r="P69" s="184"/>
      <c r="Q69" s="184"/>
    </row>
    <row r="70" spans="1:22" s="183" customFormat="1" x14ac:dyDescent="0.25">
      <c r="A70" s="254"/>
      <c r="B70" s="255"/>
      <c r="C70" s="256"/>
      <c r="E70" s="187"/>
      <c r="F70" s="187"/>
      <c r="G70" s="187"/>
      <c r="H70" s="188"/>
      <c r="I70" s="188"/>
      <c r="J70" s="188"/>
      <c r="K70" s="188"/>
      <c r="L70" s="253"/>
      <c r="M70" s="186"/>
      <c r="O70" s="184"/>
      <c r="P70" s="184"/>
      <c r="Q70" s="184"/>
    </row>
    <row r="71" spans="1:22" s="183" customFormat="1" x14ac:dyDescent="0.25">
      <c r="A71" s="254"/>
      <c r="B71" s="255"/>
      <c r="C71" s="256"/>
      <c r="E71" s="187"/>
      <c r="F71" s="187"/>
      <c r="G71" s="187"/>
      <c r="H71" s="188"/>
      <c r="I71" s="188"/>
      <c r="J71" s="188"/>
      <c r="K71" s="188"/>
      <c r="L71" s="253"/>
      <c r="M71" s="186"/>
      <c r="O71" s="184"/>
      <c r="P71" s="184"/>
      <c r="Q71" s="184"/>
    </row>
    <row r="72" spans="1:22" s="183" customFormat="1" x14ac:dyDescent="0.25">
      <c r="A72" s="254"/>
      <c r="B72" s="255"/>
      <c r="C72" s="256"/>
      <c r="E72" s="187"/>
      <c r="F72" s="187"/>
      <c r="G72" s="187"/>
      <c r="H72" s="188"/>
      <c r="I72" s="188"/>
      <c r="J72" s="188"/>
      <c r="K72" s="188"/>
      <c r="L72" s="253"/>
      <c r="M72" s="186"/>
      <c r="O72" s="184"/>
      <c r="P72" s="184"/>
      <c r="Q72" s="184"/>
    </row>
    <row r="73" spans="1:22" s="183" customFormat="1" x14ac:dyDescent="0.25">
      <c r="A73" s="254"/>
      <c r="B73" s="255"/>
      <c r="C73" s="256"/>
      <c r="E73" s="187"/>
      <c r="F73" s="187"/>
      <c r="G73" s="187"/>
      <c r="H73" s="188"/>
      <c r="I73" s="188"/>
      <c r="J73" s="188"/>
      <c r="K73" s="188"/>
      <c r="L73" s="253"/>
      <c r="M73" s="186"/>
      <c r="O73" s="184"/>
      <c r="P73" s="184"/>
      <c r="Q73" s="184"/>
    </row>
    <row r="74" spans="1:22" s="183" customFormat="1" x14ac:dyDescent="0.25">
      <c r="A74" s="254"/>
      <c r="B74" s="255"/>
      <c r="C74" s="256"/>
      <c r="E74" s="187"/>
      <c r="F74" s="187"/>
      <c r="G74" s="187"/>
      <c r="H74" s="188"/>
      <c r="I74" s="188"/>
      <c r="J74" s="188"/>
      <c r="K74" s="188"/>
      <c r="L74" s="253"/>
      <c r="M74" s="186"/>
      <c r="O74" s="184"/>
      <c r="P74" s="184"/>
      <c r="Q74" s="184"/>
    </row>
    <row r="75" spans="1:22" s="183" customFormat="1" x14ac:dyDescent="0.25">
      <c r="A75" s="254"/>
      <c r="B75" s="255"/>
      <c r="C75" s="256"/>
      <c r="E75" s="187"/>
      <c r="F75" s="187"/>
      <c r="G75" s="187"/>
      <c r="H75" s="188"/>
      <c r="I75" s="188"/>
      <c r="J75" s="188"/>
      <c r="K75" s="188"/>
      <c r="L75" s="253"/>
      <c r="M75" s="186"/>
      <c r="O75" s="184"/>
      <c r="P75" s="184"/>
      <c r="Q75" s="184"/>
    </row>
    <row r="76" spans="1:22" s="183" customFormat="1" x14ac:dyDescent="0.25">
      <c r="A76" s="254"/>
      <c r="B76" s="255"/>
      <c r="C76" s="256"/>
      <c r="E76" s="187"/>
      <c r="F76" s="187"/>
      <c r="G76" s="187"/>
      <c r="H76" s="188"/>
      <c r="I76" s="188"/>
      <c r="J76" s="188"/>
      <c r="K76" s="188"/>
      <c r="L76" s="253"/>
      <c r="M76" s="186"/>
      <c r="O76" s="184"/>
      <c r="P76" s="184"/>
      <c r="Q76" s="184"/>
    </row>
    <row r="77" spans="1:22" s="183" customFormat="1" x14ac:dyDescent="0.25">
      <c r="A77" s="254"/>
      <c r="B77" s="255"/>
      <c r="C77" s="256"/>
      <c r="E77" s="187"/>
      <c r="F77" s="187"/>
      <c r="G77" s="187"/>
      <c r="H77" s="188"/>
      <c r="I77" s="188"/>
      <c r="J77" s="188"/>
      <c r="K77" s="188"/>
      <c r="L77" s="253"/>
      <c r="M77" s="186"/>
      <c r="O77" s="184"/>
      <c r="P77" s="184"/>
      <c r="Q77" s="184"/>
    </row>
    <row r="78" spans="1:22" s="183" customFormat="1" x14ac:dyDescent="0.25">
      <c r="A78" s="254"/>
      <c r="B78" s="255"/>
      <c r="C78" s="256"/>
      <c r="E78" s="187"/>
      <c r="F78" s="187"/>
      <c r="G78" s="187"/>
      <c r="H78" s="188"/>
      <c r="I78" s="188"/>
      <c r="J78" s="188"/>
      <c r="K78" s="188"/>
      <c r="L78" s="253"/>
      <c r="M78" s="186"/>
      <c r="O78" s="184"/>
      <c r="P78" s="184"/>
      <c r="Q78" s="184"/>
    </row>
    <row r="79" spans="1:22" s="183" customFormat="1" x14ac:dyDescent="0.25">
      <c r="A79" s="254"/>
      <c r="B79" s="255"/>
      <c r="C79" s="256"/>
      <c r="E79" s="187"/>
      <c r="F79" s="187"/>
      <c r="G79" s="187"/>
      <c r="H79" s="188"/>
      <c r="I79" s="188"/>
      <c r="J79" s="188"/>
      <c r="K79" s="188"/>
      <c r="L79" s="253"/>
      <c r="M79" s="186"/>
      <c r="O79" s="184"/>
      <c r="P79" s="184"/>
      <c r="Q79" s="184"/>
    </row>
    <row r="80" spans="1:22" s="183" customFormat="1" x14ac:dyDescent="0.25">
      <c r="A80" s="254"/>
      <c r="B80" s="255"/>
      <c r="C80" s="256"/>
      <c r="E80" s="187"/>
      <c r="F80" s="187"/>
      <c r="G80" s="187"/>
      <c r="H80" s="188"/>
      <c r="I80" s="188"/>
      <c r="J80" s="188"/>
      <c r="K80" s="188"/>
      <c r="L80" s="253"/>
      <c r="M80" s="186"/>
      <c r="O80" s="184"/>
      <c r="P80" s="184"/>
      <c r="Q80" s="184"/>
    </row>
    <row r="81" spans="1:17" s="183" customFormat="1" x14ac:dyDescent="0.25">
      <c r="A81" s="254"/>
      <c r="B81" s="255"/>
      <c r="C81" s="256"/>
      <c r="E81" s="187"/>
      <c r="F81" s="187"/>
      <c r="G81" s="187"/>
      <c r="H81" s="188"/>
      <c r="I81" s="188"/>
      <c r="J81" s="188"/>
      <c r="K81" s="188"/>
      <c r="L81" s="253"/>
      <c r="M81" s="186"/>
      <c r="O81" s="184"/>
      <c r="P81" s="184"/>
      <c r="Q81" s="184"/>
    </row>
    <row r="82" spans="1:17" s="183" customFormat="1" x14ac:dyDescent="0.25">
      <c r="A82" s="254"/>
      <c r="B82" s="255"/>
      <c r="C82" s="256"/>
      <c r="E82" s="187"/>
      <c r="F82" s="187"/>
      <c r="G82" s="187"/>
      <c r="H82" s="188"/>
      <c r="I82" s="188"/>
      <c r="J82" s="188"/>
      <c r="K82" s="188"/>
      <c r="L82" s="253"/>
      <c r="M82" s="186"/>
      <c r="O82" s="184"/>
      <c r="P82" s="184"/>
      <c r="Q82" s="184"/>
    </row>
    <row r="83" spans="1:17" s="183" customFormat="1" x14ac:dyDescent="0.25">
      <c r="A83" s="254"/>
      <c r="B83" s="255"/>
      <c r="C83" s="256"/>
      <c r="E83" s="187"/>
      <c r="F83" s="187"/>
      <c r="G83" s="187"/>
      <c r="H83" s="188"/>
      <c r="I83" s="188"/>
      <c r="J83" s="188"/>
      <c r="K83" s="188"/>
      <c r="L83" s="253"/>
      <c r="M83" s="186"/>
      <c r="O83" s="184"/>
      <c r="P83" s="184"/>
      <c r="Q83" s="184"/>
    </row>
    <row r="84" spans="1:17" s="183" customFormat="1" x14ac:dyDescent="0.25">
      <c r="A84" s="254"/>
      <c r="B84" s="255"/>
      <c r="C84" s="256"/>
      <c r="E84" s="187"/>
      <c r="F84" s="187"/>
      <c r="G84" s="187"/>
      <c r="H84" s="188"/>
      <c r="I84" s="188"/>
      <c r="J84" s="188"/>
      <c r="K84" s="188"/>
      <c r="L84" s="253"/>
      <c r="M84" s="186"/>
      <c r="O84" s="184"/>
      <c r="P84" s="184"/>
      <c r="Q84" s="184"/>
    </row>
    <row r="85" spans="1:17" s="183" customFormat="1" x14ac:dyDescent="0.25">
      <c r="A85" s="254"/>
      <c r="B85" s="255"/>
      <c r="C85" s="256"/>
      <c r="E85" s="187"/>
      <c r="F85" s="187"/>
      <c r="G85" s="187"/>
      <c r="H85" s="188"/>
      <c r="I85" s="188"/>
      <c r="J85" s="188"/>
      <c r="K85" s="188"/>
      <c r="L85" s="253"/>
      <c r="M85" s="186"/>
      <c r="O85" s="184"/>
      <c r="P85" s="184"/>
      <c r="Q85" s="184"/>
    </row>
    <row r="86" spans="1:17" s="183" customFormat="1" x14ac:dyDescent="0.25">
      <c r="A86" s="254"/>
      <c r="B86" s="255"/>
      <c r="C86" s="256"/>
      <c r="E86" s="187"/>
      <c r="F86" s="187"/>
      <c r="G86" s="187"/>
      <c r="H86" s="188"/>
      <c r="I86" s="188"/>
      <c r="J86" s="188"/>
      <c r="K86" s="188"/>
      <c r="L86" s="253"/>
      <c r="M86" s="186"/>
      <c r="O86" s="184"/>
      <c r="P86" s="184"/>
      <c r="Q86" s="184"/>
    </row>
    <row r="87" spans="1:17" s="183" customFormat="1" x14ac:dyDescent="0.25">
      <c r="A87" s="254"/>
      <c r="B87" s="255"/>
      <c r="C87" s="256"/>
      <c r="E87" s="187"/>
      <c r="F87" s="187"/>
      <c r="G87" s="187"/>
      <c r="H87" s="188"/>
      <c r="I87" s="188"/>
      <c r="J87" s="188"/>
      <c r="K87" s="188"/>
      <c r="L87" s="253"/>
      <c r="M87" s="186"/>
      <c r="O87" s="184"/>
      <c r="P87" s="184"/>
      <c r="Q87" s="184"/>
    </row>
    <row r="88" spans="1:17" s="183" customFormat="1" x14ac:dyDescent="0.25">
      <c r="A88" s="254"/>
      <c r="B88" s="255"/>
      <c r="C88" s="256"/>
      <c r="E88" s="187"/>
      <c r="F88" s="187"/>
      <c r="G88" s="187"/>
      <c r="H88" s="188"/>
      <c r="I88" s="188"/>
      <c r="J88" s="188"/>
      <c r="K88" s="188"/>
      <c r="L88" s="253"/>
      <c r="M88" s="186"/>
      <c r="O88" s="184"/>
      <c r="P88" s="184"/>
      <c r="Q88" s="184"/>
    </row>
    <row r="89" spans="1:17" s="183" customFormat="1" x14ac:dyDescent="0.25">
      <c r="A89" s="254"/>
      <c r="B89" s="255"/>
      <c r="C89" s="256"/>
      <c r="E89" s="187"/>
      <c r="F89" s="187"/>
      <c r="G89" s="187"/>
      <c r="H89" s="188"/>
      <c r="I89" s="188"/>
      <c r="J89" s="188"/>
      <c r="K89" s="188"/>
      <c r="L89" s="253"/>
      <c r="M89" s="186"/>
      <c r="O89" s="184"/>
      <c r="P89" s="184"/>
      <c r="Q89" s="184"/>
    </row>
    <row r="90" spans="1:17" s="183" customFormat="1" x14ac:dyDescent="0.25">
      <c r="A90" s="254"/>
      <c r="B90" s="255"/>
      <c r="C90" s="256"/>
      <c r="E90" s="187"/>
      <c r="F90" s="187"/>
      <c r="G90" s="187"/>
      <c r="H90" s="188"/>
      <c r="I90" s="188"/>
      <c r="J90" s="188"/>
      <c r="K90" s="188"/>
      <c r="L90" s="253"/>
      <c r="M90" s="186"/>
      <c r="O90" s="184"/>
      <c r="P90" s="184"/>
      <c r="Q90" s="184"/>
    </row>
    <row r="91" spans="1:17" s="183" customFormat="1" x14ac:dyDescent="0.25">
      <c r="A91" s="254"/>
      <c r="B91" s="255"/>
      <c r="C91" s="256"/>
      <c r="E91" s="187"/>
      <c r="F91" s="187"/>
      <c r="G91" s="187"/>
      <c r="H91" s="188"/>
      <c r="I91" s="188"/>
      <c r="J91" s="188"/>
      <c r="K91" s="188"/>
      <c r="L91" s="253"/>
      <c r="M91" s="186"/>
      <c r="O91" s="184"/>
      <c r="P91" s="184"/>
      <c r="Q91" s="184"/>
    </row>
    <row r="92" spans="1:17" s="183" customFormat="1" x14ac:dyDescent="0.25">
      <c r="A92" s="254"/>
      <c r="B92" s="255"/>
      <c r="C92" s="256"/>
      <c r="E92" s="187"/>
      <c r="F92" s="187"/>
      <c r="G92" s="187"/>
      <c r="H92" s="188"/>
      <c r="I92" s="188"/>
      <c r="J92" s="188"/>
      <c r="K92" s="188"/>
      <c r="L92" s="253"/>
      <c r="M92" s="186"/>
      <c r="O92" s="184"/>
      <c r="P92" s="184"/>
      <c r="Q92" s="184"/>
    </row>
    <row r="93" spans="1:17" s="183" customFormat="1" x14ac:dyDescent="0.25">
      <c r="A93" s="254"/>
      <c r="B93" s="255"/>
      <c r="C93" s="256"/>
      <c r="E93" s="187"/>
      <c r="F93" s="187"/>
      <c r="G93" s="187"/>
      <c r="H93" s="188"/>
      <c r="I93" s="188"/>
      <c r="J93" s="188"/>
      <c r="K93" s="188"/>
      <c r="L93" s="253"/>
      <c r="M93" s="186"/>
      <c r="O93" s="184"/>
      <c r="P93" s="184"/>
      <c r="Q93" s="184"/>
    </row>
    <row r="94" spans="1:17" s="183" customFormat="1" x14ac:dyDescent="0.25">
      <c r="A94" s="254"/>
      <c r="B94" s="255"/>
      <c r="C94" s="256"/>
      <c r="E94" s="187"/>
      <c r="F94" s="187"/>
      <c r="G94" s="187"/>
      <c r="H94" s="188"/>
      <c r="I94" s="188"/>
      <c r="J94" s="188"/>
      <c r="K94" s="188"/>
      <c r="L94" s="253"/>
      <c r="M94" s="186"/>
      <c r="O94" s="184"/>
      <c r="P94" s="184"/>
      <c r="Q94" s="184"/>
    </row>
    <row r="95" spans="1:17" s="183" customFormat="1" x14ac:dyDescent="0.25">
      <c r="A95" s="254"/>
      <c r="B95" s="255"/>
      <c r="C95" s="256"/>
      <c r="E95" s="187"/>
      <c r="F95" s="187"/>
      <c r="G95" s="187"/>
      <c r="H95" s="188"/>
      <c r="I95" s="188"/>
      <c r="J95" s="188"/>
      <c r="K95" s="188"/>
      <c r="L95" s="253"/>
      <c r="M95" s="186"/>
      <c r="O95" s="184"/>
      <c r="P95" s="184"/>
      <c r="Q95" s="184"/>
    </row>
    <row r="96" spans="1:17" s="183" customFormat="1" x14ac:dyDescent="0.25">
      <c r="A96" s="254"/>
      <c r="B96" s="255"/>
      <c r="C96" s="256"/>
      <c r="E96" s="187"/>
      <c r="F96" s="187"/>
      <c r="G96" s="187"/>
      <c r="H96" s="188"/>
      <c r="I96" s="188"/>
      <c r="J96" s="188"/>
      <c r="K96" s="188"/>
      <c r="L96" s="253"/>
      <c r="M96" s="186"/>
      <c r="O96" s="184"/>
      <c r="P96" s="184"/>
      <c r="Q96" s="184"/>
    </row>
    <row r="97" spans="1:17" s="183" customFormat="1" x14ac:dyDescent="0.25">
      <c r="A97" s="254"/>
      <c r="B97" s="255"/>
      <c r="C97" s="256"/>
      <c r="E97" s="187"/>
      <c r="F97" s="187"/>
      <c r="G97" s="187"/>
      <c r="H97" s="188"/>
      <c r="I97" s="188"/>
      <c r="J97" s="188"/>
      <c r="K97" s="188"/>
      <c r="L97" s="253"/>
      <c r="M97" s="186"/>
      <c r="O97" s="184"/>
      <c r="P97" s="184"/>
      <c r="Q97" s="184"/>
    </row>
    <row r="98" spans="1:17" s="183" customFormat="1" x14ac:dyDescent="0.25">
      <c r="A98" s="254"/>
      <c r="B98" s="255"/>
      <c r="C98" s="256"/>
      <c r="E98" s="187"/>
      <c r="F98" s="187"/>
      <c r="G98" s="187"/>
      <c r="H98" s="188"/>
      <c r="I98" s="188"/>
      <c r="J98" s="188"/>
      <c r="K98" s="188"/>
      <c r="L98" s="253"/>
      <c r="M98" s="186"/>
      <c r="O98" s="184"/>
      <c r="P98" s="184"/>
      <c r="Q98" s="184"/>
    </row>
    <row r="99" spans="1:17" s="183" customFormat="1" x14ac:dyDescent="0.25">
      <c r="A99" s="254"/>
      <c r="B99" s="255"/>
      <c r="C99" s="256"/>
      <c r="E99" s="187"/>
      <c r="F99" s="187"/>
      <c r="G99" s="187"/>
      <c r="H99" s="188"/>
      <c r="I99" s="188"/>
      <c r="J99" s="188"/>
      <c r="K99" s="188"/>
      <c r="L99" s="253"/>
      <c r="M99" s="186"/>
      <c r="O99" s="184"/>
      <c r="P99" s="184"/>
      <c r="Q99" s="184"/>
    </row>
    <row r="100" spans="1:17" s="183" customFormat="1" x14ac:dyDescent="0.25">
      <c r="A100" s="254"/>
      <c r="B100" s="255"/>
      <c r="C100" s="256"/>
      <c r="E100" s="187"/>
      <c r="F100" s="187"/>
      <c r="G100" s="187"/>
      <c r="H100" s="188"/>
      <c r="I100" s="188"/>
      <c r="J100" s="188"/>
      <c r="K100" s="188"/>
      <c r="L100" s="253"/>
      <c r="M100" s="186"/>
      <c r="O100" s="184"/>
      <c r="P100" s="184"/>
      <c r="Q100" s="184"/>
    </row>
    <row r="101" spans="1:17" s="183" customFormat="1" x14ac:dyDescent="0.25">
      <c r="A101" s="254"/>
      <c r="B101" s="255"/>
      <c r="C101" s="256"/>
      <c r="E101" s="187"/>
      <c r="F101" s="187"/>
      <c r="G101" s="187"/>
      <c r="H101" s="188"/>
      <c r="I101" s="188"/>
      <c r="J101" s="188"/>
      <c r="K101" s="188"/>
      <c r="L101" s="253"/>
      <c r="M101" s="186"/>
      <c r="O101" s="184"/>
      <c r="P101" s="184"/>
      <c r="Q101" s="184"/>
    </row>
    <row r="102" spans="1:17" s="183" customFormat="1" x14ac:dyDescent="0.25">
      <c r="A102" s="254"/>
      <c r="B102" s="255"/>
      <c r="C102" s="256"/>
      <c r="E102" s="187"/>
      <c r="F102" s="187"/>
      <c r="G102" s="187"/>
      <c r="H102" s="188"/>
      <c r="I102" s="188"/>
      <c r="J102" s="188"/>
      <c r="K102" s="188"/>
      <c r="L102" s="253"/>
      <c r="M102" s="186"/>
      <c r="O102" s="184"/>
      <c r="P102" s="184"/>
      <c r="Q102" s="184"/>
    </row>
    <row r="103" spans="1:17" s="183" customFormat="1" x14ac:dyDescent="0.25">
      <c r="A103" s="254"/>
      <c r="B103" s="255"/>
      <c r="C103" s="256"/>
      <c r="E103" s="187"/>
      <c r="F103" s="187"/>
      <c r="G103" s="187"/>
      <c r="H103" s="188"/>
      <c r="I103" s="188"/>
      <c r="J103" s="188"/>
      <c r="K103" s="188"/>
      <c r="L103" s="253"/>
      <c r="M103" s="186"/>
      <c r="O103" s="184"/>
      <c r="P103" s="184"/>
      <c r="Q103" s="184"/>
    </row>
    <row r="104" spans="1:17" s="183" customFormat="1" x14ac:dyDescent="0.25">
      <c r="A104" s="254"/>
      <c r="B104" s="255"/>
      <c r="C104" s="256"/>
      <c r="E104" s="187"/>
      <c r="F104" s="187"/>
      <c r="G104" s="187"/>
      <c r="H104" s="188"/>
      <c r="I104" s="188"/>
      <c r="J104" s="188"/>
      <c r="K104" s="188"/>
      <c r="L104" s="253"/>
      <c r="M104" s="186"/>
      <c r="O104" s="184"/>
      <c r="P104" s="184"/>
      <c r="Q104" s="184"/>
    </row>
    <row r="105" spans="1:17" s="183" customFormat="1" x14ac:dyDescent="0.25">
      <c r="A105" s="254"/>
      <c r="B105" s="255"/>
      <c r="C105" s="256"/>
      <c r="E105" s="187"/>
      <c r="F105" s="187"/>
      <c r="G105" s="187"/>
      <c r="H105" s="188"/>
      <c r="I105" s="188"/>
      <c r="J105" s="188"/>
      <c r="K105" s="188"/>
      <c r="L105" s="253"/>
      <c r="M105" s="186"/>
      <c r="O105" s="184"/>
      <c r="P105" s="184"/>
      <c r="Q105" s="184"/>
    </row>
    <row r="106" spans="1:17" s="183" customFormat="1" x14ac:dyDescent="0.25">
      <c r="A106" s="254"/>
      <c r="B106" s="255"/>
      <c r="C106" s="256"/>
      <c r="E106" s="187"/>
      <c r="F106" s="187"/>
      <c r="G106" s="187"/>
      <c r="H106" s="188"/>
      <c r="I106" s="188"/>
      <c r="J106" s="188"/>
      <c r="K106" s="188"/>
      <c r="L106" s="253"/>
      <c r="M106" s="186"/>
      <c r="O106" s="184"/>
      <c r="P106" s="184"/>
      <c r="Q106" s="184"/>
    </row>
    <row r="107" spans="1:17" s="183" customFormat="1" x14ac:dyDescent="0.25">
      <c r="A107" s="254"/>
      <c r="B107" s="255"/>
      <c r="C107" s="256"/>
      <c r="E107" s="187"/>
      <c r="F107" s="187"/>
      <c r="G107" s="187"/>
      <c r="H107" s="188"/>
      <c r="I107" s="188"/>
      <c r="J107" s="188"/>
      <c r="K107" s="188"/>
      <c r="L107" s="253"/>
      <c r="M107" s="186"/>
      <c r="O107" s="184"/>
      <c r="P107" s="184"/>
      <c r="Q107" s="184"/>
    </row>
    <row r="108" spans="1:17" s="183" customFormat="1" x14ac:dyDescent="0.25">
      <c r="A108" s="254"/>
      <c r="B108" s="255"/>
      <c r="C108" s="256"/>
      <c r="E108" s="187"/>
      <c r="F108" s="187"/>
      <c r="G108" s="187"/>
      <c r="H108" s="188"/>
      <c r="I108" s="188"/>
      <c r="J108" s="188"/>
      <c r="K108" s="188"/>
      <c r="L108" s="253"/>
      <c r="M108" s="186"/>
      <c r="O108" s="184"/>
      <c r="P108" s="184"/>
      <c r="Q108" s="184"/>
    </row>
    <row r="109" spans="1:17" s="183" customFormat="1" x14ac:dyDescent="0.25">
      <c r="A109" s="254"/>
      <c r="B109" s="255"/>
      <c r="C109" s="256"/>
      <c r="E109" s="187"/>
      <c r="F109" s="187"/>
      <c r="G109" s="187"/>
      <c r="H109" s="188"/>
      <c r="I109" s="188"/>
      <c r="J109" s="188"/>
      <c r="K109" s="188"/>
      <c r="L109" s="253"/>
      <c r="M109" s="186"/>
      <c r="O109" s="184"/>
      <c r="P109" s="184"/>
      <c r="Q109" s="184"/>
    </row>
    <row r="110" spans="1:17" s="183" customFormat="1" x14ac:dyDescent="0.25">
      <c r="A110" s="254"/>
      <c r="B110" s="255"/>
      <c r="C110" s="256"/>
      <c r="E110" s="187"/>
      <c r="F110" s="187"/>
      <c r="G110" s="187"/>
      <c r="H110" s="188"/>
      <c r="I110" s="188"/>
      <c r="J110" s="188"/>
      <c r="K110" s="188"/>
      <c r="L110" s="253"/>
      <c r="M110" s="186"/>
      <c r="O110" s="184"/>
      <c r="P110" s="184"/>
      <c r="Q110" s="184"/>
    </row>
    <row r="111" spans="1:17" s="183" customFormat="1" x14ac:dyDescent="0.25">
      <c r="A111" s="254"/>
      <c r="B111" s="255"/>
      <c r="C111" s="256"/>
      <c r="E111" s="187"/>
      <c r="F111" s="187"/>
      <c r="G111" s="187"/>
      <c r="H111" s="188"/>
      <c r="I111" s="188"/>
      <c r="J111" s="188"/>
      <c r="K111" s="188"/>
      <c r="L111" s="253"/>
      <c r="M111" s="186"/>
      <c r="O111" s="184"/>
      <c r="P111" s="184"/>
      <c r="Q111" s="184"/>
    </row>
    <row r="112" spans="1:17" s="183" customFormat="1" x14ac:dyDescent="0.25">
      <c r="A112" s="254"/>
      <c r="B112" s="255"/>
      <c r="C112" s="256"/>
      <c r="E112" s="187"/>
      <c r="F112" s="187"/>
      <c r="G112" s="187"/>
      <c r="H112" s="188"/>
      <c r="I112" s="188"/>
      <c r="J112" s="188"/>
      <c r="K112" s="188"/>
      <c r="L112" s="253"/>
      <c r="M112" s="186"/>
      <c r="O112" s="184"/>
      <c r="P112" s="184"/>
      <c r="Q112" s="184"/>
    </row>
    <row r="113" spans="1:17" s="183" customFormat="1" x14ac:dyDescent="0.25">
      <c r="A113" s="254"/>
      <c r="B113" s="255"/>
      <c r="C113" s="256"/>
      <c r="E113" s="187"/>
      <c r="F113" s="187"/>
      <c r="G113" s="187"/>
      <c r="H113" s="188"/>
      <c r="I113" s="188"/>
      <c r="J113" s="188"/>
      <c r="K113" s="188"/>
      <c r="L113" s="253"/>
      <c r="M113" s="186"/>
      <c r="O113" s="184"/>
      <c r="P113" s="184"/>
      <c r="Q113" s="184"/>
    </row>
    <row r="114" spans="1:17" s="183" customFormat="1" x14ac:dyDescent="0.25">
      <c r="A114" s="254"/>
      <c r="B114" s="255"/>
      <c r="C114" s="256"/>
      <c r="E114" s="187"/>
      <c r="F114" s="187"/>
      <c r="G114" s="187"/>
      <c r="H114" s="188"/>
      <c r="I114" s="188"/>
      <c r="J114" s="188"/>
      <c r="K114" s="188"/>
      <c r="L114" s="253"/>
      <c r="M114" s="186"/>
      <c r="O114" s="184"/>
      <c r="P114" s="184"/>
      <c r="Q114" s="184"/>
    </row>
    <row r="115" spans="1:17" s="183" customFormat="1" x14ac:dyDescent="0.25">
      <c r="A115" s="254"/>
      <c r="B115" s="255"/>
      <c r="C115" s="256"/>
      <c r="E115" s="187"/>
      <c r="F115" s="187"/>
      <c r="G115" s="187"/>
      <c r="H115" s="188"/>
      <c r="I115" s="188"/>
      <c r="J115" s="188"/>
      <c r="K115" s="188"/>
      <c r="L115" s="253"/>
      <c r="M115" s="186"/>
      <c r="O115" s="184"/>
      <c r="P115" s="184"/>
      <c r="Q115" s="184"/>
    </row>
    <row r="116" spans="1:17" s="183" customFormat="1" x14ac:dyDescent="0.25">
      <c r="A116" s="254"/>
      <c r="B116" s="255"/>
      <c r="C116" s="256"/>
      <c r="E116" s="187"/>
      <c r="F116" s="187"/>
      <c r="G116" s="187"/>
      <c r="H116" s="188"/>
      <c r="I116" s="188"/>
      <c r="J116" s="188"/>
      <c r="K116" s="188"/>
      <c r="L116" s="253"/>
      <c r="M116" s="186"/>
      <c r="O116" s="184"/>
      <c r="P116" s="184"/>
      <c r="Q116" s="184"/>
    </row>
    <row r="117" spans="1:17" s="183" customFormat="1" x14ac:dyDescent="0.25">
      <c r="A117" s="254"/>
      <c r="B117" s="255"/>
      <c r="C117" s="256"/>
      <c r="E117" s="187"/>
      <c r="F117" s="187"/>
      <c r="G117" s="187"/>
      <c r="H117" s="188"/>
      <c r="I117" s="188"/>
      <c r="J117" s="188"/>
      <c r="K117" s="188"/>
      <c r="L117" s="253"/>
      <c r="M117" s="186"/>
      <c r="O117" s="184"/>
      <c r="P117" s="184"/>
      <c r="Q117" s="184"/>
    </row>
    <row r="118" spans="1:17" s="183" customFormat="1" x14ac:dyDescent="0.25">
      <c r="A118" s="254"/>
      <c r="B118" s="255"/>
      <c r="C118" s="256"/>
      <c r="E118" s="187"/>
      <c r="F118" s="187"/>
      <c r="G118" s="187"/>
      <c r="H118" s="188"/>
      <c r="I118" s="188"/>
      <c r="J118" s="188"/>
      <c r="K118" s="188"/>
      <c r="L118" s="253"/>
      <c r="M118" s="186"/>
      <c r="O118" s="184"/>
      <c r="P118" s="184"/>
      <c r="Q118" s="184"/>
    </row>
    <row r="119" spans="1:17" s="183" customFormat="1" x14ac:dyDescent="0.25">
      <c r="A119" s="254"/>
      <c r="B119" s="255"/>
      <c r="C119" s="256"/>
      <c r="E119" s="187"/>
      <c r="F119" s="187"/>
      <c r="G119" s="187"/>
      <c r="H119" s="188"/>
      <c r="I119" s="188"/>
      <c r="J119" s="188"/>
      <c r="K119" s="188"/>
      <c r="L119" s="253"/>
      <c r="M119" s="186"/>
      <c r="O119" s="184"/>
      <c r="P119" s="184"/>
      <c r="Q119" s="184"/>
    </row>
    <row r="120" spans="1:17" s="183" customFormat="1" x14ac:dyDescent="0.25">
      <c r="A120" s="254"/>
      <c r="B120" s="255"/>
      <c r="C120" s="256"/>
      <c r="E120" s="187"/>
      <c r="F120" s="187"/>
      <c r="G120" s="187"/>
      <c r="H120" s="188"/>
      <c r="I120" s="188"/>
      <c r="J120" s="188"/>
      <c r="K120" s="188"/>
      <c r="L120" s="253"/>
      <c r="M120" s="186"/>
      <c r="O120" s="184"/>
      <c r="P120" s="184"/>
      <c r="Q120" s="184"/>
    </row>
    <row r="121" spans="1:17" s="183" customFormat="1" x14ac:dyDescent="0.25">
      <c r="A121" s="254"/>
      <c r="B121" s="255"/>
      <c r="C121" s="256"/>
      <c r="E121" s="187"/>
      <c r="F121" s="187"/>
      <c r="G121" s="187"/>
      <c r="H121" s="188"/>
      <c r="I121" s="188"/>
      <c r="J121" s="188"/>
      <c r="K121" s="188"/>
      <c r="L121" s="253"/>
      <c r="M121" s="186"/>
      <c r="O121" s="184"/>
      <c r="P121" s="184"/>
      <c r="Q121" s="184"/>
    </row>
    <row r="122" spans="1:17" s="183" customFormat="1" x14ac:dyDescent="0.25">
      <c r="A122" s="254"/>
      <c r="B122" s="255"/>
      <c r="C122" s="256"/>
      <c r="E122" s="187"/>
      <c r="F122" s="187"/>
      <c r="G122" s="187"/>
      <c r="H122" s="188"/>
      <c r="I122" s="188"/>
      <c r="J122" s="188"/>
      <c r="K122" s="188"/>
      <c r="L122" s="253"/>
      <c r="M122" s="186"/>
      <c r="O122" s="184"/>
      <c r="P122" s="184"/>
      <c r="Q122" s="184"/>
    </row>
    <row r="123" spans="1:17" s="183" customFormat="1" x14ac:dyDescent="0.25">
      <c r="A123" s="254"/>
      <c r="B123" s="255"/>
      <c r="C123" s="256"/>
      <c r="E123" s="187"/>
      <c r="F123" s="187"/>
      <c r="G123" s="187"/>
      <c r="H123" s="188"/>
      <c r="I123" s="188"/>
      <c r="J123" s="188"/>
      <c r="K123" s="188"/>
      <c r="L123" s="253"/>
      <c r="M123" s="186"/>
      <c r="O123" s="184"/>
      <c r="P123" s="184"/>
      <c r="Q123" s="184"/>
    </row>
    <row r="124" spans="1:17" s="183" customFormat="1" x14ac:dyDescent="0.25">
      <c r="A124" s="254"/>
      <c r="B124" s="255"/>
      <c r="C124" s="256"/>
      <c r="E124" s="187"/>
      <c r="F124" s="187"/>
      <c r="G124" s="187"/>
      <c r="H124" s="188"/>
      <c r="I124" s="188"/>
      <c r="J124" s="188"/>
      <c r="K124" s="188"/>
      <c r="L124" s="253"/>
      <c r="M124" s="186"/>
      <c r="O124" s="184"/>
      <c r="P124" s="184"/>
      <c r="Q124" s="184"/>
    </row>
    <row r="125" spans="1:17" s="183" customFormat="1" x14ac:dyDescent="0.25">
      <c r="A125" s="254"/>
      <c r="B125" s="255"/>
      <c r="C125" s="256"/>
      <c r="E125" s="187"/>
      <c r="F125" s="187"/>
      <c r="G125" s="187"/>
      <c r="H125" s="188"/>
      <c r="I125" s="188"/>
      <c r="J125" s="188"/>
      <c r="K125" s="188"/>
      <c r="L125" s="253"/>
      <c r="M125" s="186"/>
      <c r="O125" s="184"/>
      <c r="P125" s="184"/>
      <c r="Q125" s="184"/>
    </row>
    <row r="126" spans="1:17" s="183" customFormat="1" x14ac:dyDescent="0.25">
      <c r="A126" s="254"/>
      <c r="B126" s="255"/>
      <c r="C126" s="256"/>
      <c r="E126" s="187"/>
      <c r="F126" s="187"/>
      <c r="G126" s="187"/>
      <c r="H126" s="188"/>
      <c r="I126" s="188"/>
      <c r="J126" s="188"/>
      <c r="K126" s="188"/>
      <c r="L126" s="253"/>
      <c r="M126" s="186"/>
      <c r="O126" s="184"/>
      <c r="P126" s="184"/>
      <c r="Q126" s="184"/>
    </row>
    <row r="127" spans="1:17" s="183" customFormat="1" x14ac:dyDescent="0.25">
      <c r="A127" s="254"/>
      <c r="B127" s="255"/>
      <c r="C127" s="256"/>
      <c r="E127" s="187"/>
      <c r="F127" s="187"/>
      <c r="G127" s="187"/>
      <c r="H127" s="188"/>
      <c r="I127" s="188"/>
      <c r="J127" s="188"/>
      <c r="K127" s="188"/>
      <c r="L127" s="253"/>
      <c r="M127" s="186"/>
      <c r="O127" s="184"/>
      <c r="P127" s="184"/>
      <c r="Q127" s="184"/>
    </row>
    <row r="128" spans="1:17" s="183" customFormat="1" x14ac:dyDescent="0.25">
      <c r="A128" s="254"/>
      <c r="B128" s="255"/>
      <c r="C128" s="256"/>
      <c r="E128" s="187"/>
      <c r="F128" s="187"/>
      <c r="G128" s="187"/>
      <c r="H128" s="188"/>
      <c r="I128" s="188"/>
      <c r="J128" s="188"/>
      <c r="K128" s="188"/>
      <c r="L128" s="253"/>
      <c r="M128" s="186"/>
      <c r="O128" s="184"/>
      <c r="P128" s="184"/>
      <c r="Q128" s="184"/>
    </row>
    <row r="129" spans="1:17" s="183" customFormat="1" x14ac:dyDescent="0.25">
      <c r="A129" s="254"/>
      <c r="B129" s="255"/>
      <c r="C129" s="256"/>
      <c r="E129" s="187"/>
      <c r="F129" s="187"/>
      <c r="G129" s="187"/>
      <c r="H129" s="188"/>
      <c r="I129" s="188"/>
      <c r="J129" s="188"/>
      <c r="K129" s="188"/>
      <c r="L129" s="253"/>
      <c r="M129" s="186"/>
      <c r="O129" s="184"/>
      <c r="P129" s="184"/>
      <c r="Q129" s="184"/>
    </row>
    <row r="130" spans="1:17" s="183" customFormat="1" x14ac:dyDescent="0.25">
      <c r="A130" s="254"/>
      <c r="B130" s="255"/>
      <c r="C130" s="256"/>
      <c r="E130" s="187"/>
      <c r="F130" s="187"/>
      <c r="G130" s="187"/>
      <c r="H130" s="188"/>
      <c r="I130" s="188"/>
      <c r="J130" s="188"/>
      <c r="K130" s="188"/>
      <c r="L130" s="253"/>
      <c r="M130" s="186"/>
      <c r="O130" s="184"/>
      <c r="P130" s="184"/>
      <c r="Q130" s="184"/>
    </row>
    <row r="131" spans="1:17" s="183" customFormat="1" x14ac:dyDescent="0.25">
      <c r="A131" s="254"/>
      <c r="B131" s="255"/>
      <c r="C131" s="256"/>
      <c r="E131" s="187"/>
      <c r="F131" s="187"/>
      <c r="G131" s="187"/>
      <c r="H131" s="188"/>
      <c r="I131" s="188"/>
      <c r="J131" s="188"/>
      <c r="K131" s="188"/>
      <c r="L131" s="253"/>
      <c r="M131" s="186"/>
      <c r="O131" s="184"/>
      <c r="P131" s="184"/>
      <c r="Q131" s="184"/>
    </row>
    <row r="132" spans="1:17" s="183" customFormat="1" x14ac:dyDescent="0.25">
      <c r="A132" s="254"/>
      <c r="B132" s="255"/>
      <c r="C132" s="256"/>
      <c r="E132" s="187"/>
      <c r="F132" s="187"/>
      <c r="G132" s="187"/>
      <c r="H132" s="188"/>
      <c r="I132" s="188"/>
      <c r="J132" s="188"/>
      <c r="K132" s="188"/>
      <c r="L132" s="253"/>
      <c r="M132" s="186"/>
      <c r="O132" s="184"/>
      <c r="P132" s="184"/>
      <c r="Q132" s="184"/>
    </row>
    <row r="133" spans="1:17" s="183" customFormat="1" x14ac:dyDescent="0.25">
      <c r="A133" s="254"/>
      <c r="B133" s="255"/>
      <c r="C133" s="256"/>
      <c r="E133" s="187"/>
      <c r="F133" s="187"/>
      <c r="G133" s="187"/>
      <c r="H133" s="188"/>
      <c r="I133" s="188"/>
      <c r="J133" s="188"/>
      <c r="K133" s="188"/>
      <c r="L133" s="253"/>
      <c r="M133" s="186"/>
      <c r="O133" s="184"/>
      <c r="P133" s="184"/>
      <c r="Q133" s="184"/>
    </row>
    <row r="134" spans="1:17" s="183" customFormat="1" x14ac:dyDescent="0.25">
      <c r="A134" s="254"/>
      <c r="B134" s="255"/>
      <c r="C134" s="256"/>
      <c r="E134" s="187"/>
      <c r="F134" s="187"/>
      <c r="G134" s="187"/>
      <c r="H134" s="188"/>
      <c r="I134" s="188"/>
      <c r="J134" s="188"/>
      <c r="K134" s="188"/>
      <c r="L134" s="253"/>
      <c r="M134" s="186"/>
      <c r="O134" s="184"/>
      <c r="P134" s="184"/>
      <c r="Q134" s="184"/>
    </row>
    <row r="135" spans="1:17" s="183" customFormat="1" x14ac:dyDescent="0.25">
      <c r="A135" s="254"/>
      <c r="B135" s="255"/>
      <c r="C135" s="256"/>
      <c r="E135" s="187"/>
      <c r="F135" s="187"/>
      <c r="G135" s="187"/>
      <c r="H135" s="188"/>
      <c r="I135" s="188"/>
      <c r="J135" s="188"/>
      <c r="K135" s="188"/>
      <c r="L135" s="253"/>
      <c r="M135" s="186"/>
      <c r="O135" s="184"/>
      <c r="P135" s="184"/>
      <c r="Q135" s="184"/>
    </row>
    <row r="136" spans="1:17" s="183" customFormat="1" x14ac:dyDescent="0.25">
      <c r="A136" s="254"/>
      <c r="B136" s="255"/>
      <c r="C136" s="256"/>
      <c r="E136" s="187"/>
      <c r="F136" s="187"/>
      <c r="G136" s="187"/>
      <c r="H136" s="188"/>
      <c r="I136" s="188"/>
      <c r="J136" s="188"/>
      <c r="K136" s="188"/>
      <c r="L136" s="253"/>
      <c r="M136" s="186"/>
      <c r="O136" s="184"/>
      <c r="P136" s="184"/>
      <c r="Q136" s="184"/>
    </row>
    <row r="137" spans="1:17" s="183" customFormat="1" x14ac:dyDescent="0.25">
      <c r="A137" s="254"/>
      <c r="B137" s="255"/>
      <c r="C137" s="256"/>
      <c r="E137" s="187"/>
      <c r="F137" s="187"/>
      <c r="G137" s="187"/>
      <c r="H137" s="188"/>
      <c r="I137" s="188"/>
      <c r="J137" s="188"/>
      <c r="K137" s="188"/>
      <c r="L137" s="253"/>
      <c r="M137" s="186"/>
      <c r="O137" s="184"/>
      <c r="P137" s="184"/>
      <c r="Q137" s="184"/>
    </row>
    <row r="138" spans="1:17" s="183" customFormat="1" x14ac:dyDescent="0.25">
      <c r="A138" s="254"/>
      <c r="B138" s="255"/>
      <c r="C138" s="256"/>
      <c r="E138" s="187"/>
      <c r="F138" s="187"/>
      <c r="G138" s="187"/>
      <c r="H138" s="188"/>
      <c r="I138" s="188"/>
      <c r="J138" s="188"/>
      <c r="K138" s="188"/>
      <c r="L138" s="253"/>
      <c r="M138" s="186"/>
      <c r="O138" s="184"/>
      <c r="P138" s="184"/>
      <c r="Q138" s="184"/>
    </row>
    <row r="139" spans="1:17" s="183" customFormat="1" x14ac:dyDescent="0.25">
      <c r="A139" s="254"/>
      <c r="B139" s="255"/>
      <c r="C139" s="256"/>
      <c r="E139" s="187"/>
      <c r="F139" s="187"/>
      <c r="G139" s="187"/>
      <c r="H139" s="188"/>
      <c r="I139" s="188"/>
      <c r="J139" s="188"/>
      <c r="K139" s="188"/>
      <c r="L139" s="253"/>
      <c r="M139" s="186"/>
      <c r="O139" s="184"/>
      <c r="P139" s="184"/>
      <c r="Q139" s="184"/>
    </row>
    <row r="140" spans="1:17" s="183" customFormat="1" x14ac:dyDescent="0.25">
      <c r="A140" s="254"/>
      <c r="B140" s="255"/>
      <c r="C140" s="256"/>
      <c r="E140" s="187"/>
      <c r="F140" s="187"/>
      <c r="G140" s="187"/>
      <c r="H140" s="188"/>
      <c r="I140" s="188"/>
      <c r="J140" s="188"/>
      <c r="K140" s="188"/>
      <c r="L140" s="253"/>
      <c r="M140" s="186"/>
      <c r="O140" s="184"/>
      <c r="P140" s="184"/>
      <c r="Q140" s="184"/>
    </row>
    <row r="141" spans="1:17" s="183" customFormat="1" x14ac:dyDescent="0.25">
      <c r="A141" s="254"/>
      <c r="B141" s="255"/>
      <c r="C141" s="256"/>
      <c r="E141" s="187"/>
      <c r="F141" s="187"/>
      <c r="G141" s="187"/>
      <c r="H141" s="188"/>
      <c r="I141" s="188"/>
      <c r="J141" s="188"/>
      <c r="K141" s="188"/>
      <c r="L141" s="253"/>
      <c r="M141" s="186"/>
      <c r="O141" s="184"/>
      <c r="P141" s="184"/>
      <c r="Q141" s="184"/>
    </row>
    <row r="142" spans="1:17" s="183" customFormat="1" x14ac:dyDescent="0.25">
      <c r="A142" s="254"/>
      <c r="B142" s="255"/>
      <c r="C142" s="256"/>
      <c r="E142" s="187"/>
      <c r="F142" s="187"/>
      <c r="G142" s="187"/>
      <c r="H142" s="188"/>
      <c r="I142" s="188"/>
      <c r="J142" s="188"/>
      <c r="K142" s="188"/>
      <c r="L142" s="253"/>
      <c r="M142" s="186"/>
      <c r="O142" s="184"/>
      <c r="P142" s="184"/>
      <c r="Q142" s="184"/>
    </row>
    <row r="143" spans="1:17" s="183" customFormat="1" x14ac:dyDescent="0.25">
      <c r="A143" s="254"/>
      <c r="B143" s="255"/>
      <c r="C143" s="256"/>
      <c r="E143" s="187"/>
      <c r="F143" s="187"/>
      <c r="G143" s="187"/>
      <c r="H143" s="188"/>
      <c r="I143" s="188"/>
      <c r="J143" s="188"/>
      <c r="K143" s="188"/>
      <c r="L143" s="253"/>
      <c r="M143" s="186"/>
      <c r="O143" s="184"/>
      <c r="P143" s="184"/>
      <c r="Q143" s="184"/>
    </row>
    <row r="144" spans="1:17" s="183" customFormat="1" x14ac:dyDescent="0.25">
      <c r="A144" s="254"/>
      <c r="B144" s="255"/>
      <c r="C144" s="256"/>
      <c r="E144" s="187"/>
      <c r="F144" s="187"/>
      <c r="G144" s="187"/>
      <c r="H144" s="188"/>
      <c r="I144" s="188"/>
      <c r="J144" s="188"/>
      <c r="K144" s="188"/>
      <c r="L144" s="253"/>
      <c r="M144" s="186"/>
      <c r="O144" s="184"/>
      <c r="P144" s="184"/>
      <c r="Q144" s="184"/>
    </row>
    <row r="145" spans="1:17" s="183" customFormat="1" x14ac:dyDescent="0.25">
      <c r="A145" s="254"/>
      <c r="B145" s="255"/>
      <c r="C145" s="256"/>
      <c r="E145" s="187"/>
      <c r="F145" s="187"/>
      <c r="G145" s="187"/>
      <c r="H145" s="188"/>
      <c r="I145" s="188"/>
      <c r="J145" s="188"/>
      <c r="K145" s="188"/>
      <c r="L145" s="253"/>
      <c r="M145" s="186"/>
      <c r="O145" s="184"/>
      <c r="P145" s="184"/>
      <c r="Q145" s="184"/>
    </row>
    <row r="146" spans="1:17" s="183" customFormat="1" x14ac:dyDescent="0.25">
      <c r="A146" s="254"/>
      <c r="B146" s="255"/>
      <c r="C146" s="256"/>
      <c r="E146" s="187"/>
      <c r="F146" s="187"/>
      <c r="G146" s="187"/>
      <c r="H146" s="188"/>
      <c r="I146" s="188"/>
      <c r="J146" s="188"/>
      <c r="K146" s="188"/>
      <c r="L146" s="253"/>
      <c r="M146" s="186"/>
      <c r="O146" s="184"/>
      <c r="P146" s="184"/>
      <c r="Q146" s="184"/>
    </row>
    <row r="147" spans="1:17" s="183" customFormat="1" x14ac:dyDescent="0.25">
      <c r="A147" s="254"/>
      <c r="B147" s="255"/>
      <c r="C147" s="256"/>
      <c r="E147" s="187"/>
      <c r="F147" s="187"/>
      <c r="G147" s="187"/>
      <c r="H147" s="188"/>
      <c r="I147" s="188"/>
      <c r="J147" s="188"/>
      <c r="K147" s="188"/>
      <c r="L147" s="253"/>
      <c r="M147" s="186"/>
      <c r="O147" s="184"/>
      <c r="P147" s="184"/>
      <c r="Q147" s="184"/>
    </row>
    <row r="148" spans="1:17" s="183" customFormat="1" x14ac:dyDescent="0.25">
      <c r="A148" s="254"/>
      <c r="B148" s="255"/>
      <c r="C148" s="256"/>
      <c r="E148" s="187"/>
      <c r="F148" s="187"/>
      <c r="G148" s="187"/>
      <c r="H148" s="188"/>
      <c r="I148" s="188"/>
      <c r="J148" s="188"/>
      <c r="K148" s="188"/>
      <c r="L148" s="253"/>
      <c r="M148" s="186"/>
      <c r="O148" s="184"/>
      <c r="P148" s="184"/>
      <c r="Q148" s="184"/>
    </row>
    <row r="149" spans="1:17" s="183" customFormat="1" x14ac:dyDescent="0.25">
      <c r="A149" s="254"/>
      <c r="B149" s="255"/>
      <c r="C149" s="256"/>
      <c r="E149" s="187"/>
      <c r="F149" s="187"/>
      <c r="G149" s="187"/>
      <c r="H149" s="188"/>
      <c r="I149" s="188"/>
      <c r="J149" s="188"/>
      <c r="K149" s="188"/>
      <c r="L149" s="253"/>
      <c r="M149" s="186"/>
      <c r="O149" s="184"/>
      <c r="P149" s="184"/>
      <c r="Q149" s="184"/>
    </row>
    <row r="150" spans="1:17" s="183" customFormat="1" x14ac:dyDescent="0.25">
      <c r="A150" s="254"/>
      <c r="B150" s="255"/>
      <c r="C150" s="256"/>
      <c r="E150" s="187"/>
      <c r="F150" s="187"/>
      <c r="G150" s="187"/>
      <c r="H150" s="188"/>
      <c r="I150" s="188"/>
      <c r="J150" s="188"/>
      <c r="K150" s="188"/>
      <c r="L150" s="253"/>
      <c r="M150" s="186"/>
      <c r="O150" s="184"/>
      <c r="P150" s="184"/>
      <c r="Q150" s="184"/>
    </row>
    <row r="151" spans="1:17" s="183" customFormat="1" x14ac:dyDescent="0.25">
      <c r="A151" s="254"/>
      <c r="B151" s="255"/>
      <c r="C151" s="256"/>
      <c r="E151" s="187"/>
      <c r="F151" s="187"/>
      <c r="G151" s="187"/>
      <c r="H151" s="188"/>
      <c r="I151" s="188"/>
      <c r="J151" s="188"/>
      <c r="K151" s="188"/>
      <c r="L151" s="253"/>
      <c r="M151" s="186"/>
      <c r="O151" s="184"/>
      <c r="P151" s="184"/>
      <c r="Q151" s="184"/>
    </row>
    <row r="152" spans="1:17" s="183" customFormat="1" x14ac:dyDescent="0.25">
      <c r="A152" s="254"/>
      <c r="B152" s="255"/>
      <c r="C152" s="256"/>
      <c r="E152" s="187"/>
      <c r="F152" s="187"/>
      <c r="G152" s="187"/>
      <c r="H152" s="188"/>
      <c r="I152" s="188"/>
      <c r="J152" s="188"/>
      <c r="K152" s="188"/>
      <c r="L152" s="253"/>
      <c r="M152" s="186"/>
      <c r="O152" s="184"/>
      <c r="P152" s="184"/>
      <c r="Q152" s="184"/>
    </row>
    <row r="153" spans="1:17" s="183" customFormat="1" x14ac:dyDescent="0.25">
      <c r="A153" s="254"/>
      <c r="B153" s="255"/>
      <c r="C153" s="256"/>
      <c r="E153" s="187"/>
      <c r="F153" s="187"/>
      <c r="G153" s="187"/>
      <c r="H153" s="188"/>
      <c r="I153" s="188"/>
      <c r="J153" s="188"/>
      <c r="K153" s="188"/>
      <c r="L153" s="253"/>
      <c r="M153" s="186"/>
      <c r="O153" s="184"/>
      <c r="P153" s="184"/>
      <c r="Q153" s="184"/>
    </row>
    <row r="154" spans="1:17" s="183" customFormat="1" x14ac:dyDescent="0.25">
      <c r="A154" s="254"/>
      <c r="B154" s="255"/>
      <c r="C154" s="256"/>
      <c r="E154" s="187"/>
      <c r="F154" s="187"/>
      <c r="G154" s="187"/>
      <c r="H154" s="188"/>
      <c r="I154" s="188"/>
      <c r="J154" s="188"/>
      <c r="K154" s="188"/>
      <c r="L154" s="253"/>
      <c r="M154" s="186"/>
      <c r="O154" s="184"/>
      <c r="P154" s="184"/>
      <c r="Q154" s="184"/>
    </row>
    <row r="155" spans="1:17" s="183" customFormat="1" x14ac:dyDescent="0.25">
      <c r="A155" s="254"/>
      <c r="B155" s="255"/>
      <c r="C155" s="256"/>
      <c r="E155" s="187"/>
      <c r="F155" s="187"/>
      <c r="G155" s="187"/>
      <c r="H155" s="188"/>
      <c r="I155" s="188"/>
      <c r="J155" s="188"/>
      <c r="K155" s="188"/>
      <c r="L155" s="253"/>
      <c r="M155" s="186"/>
      <c r="O155" s="184"/>
      <c r="P155" s="184"/>
      <c r="Q155" s="184"/>
    </row>
    <row r="156" spans="1:17" s="183" customFormat="1" x14ac:dyDescent="0.25">
      <c r="A156" s="254"/>
      <c r="B156" s="255"/>
      <c r="C156" s="256"/>
      <c r="E156" s="187"/>
      <c r="F156" s="187"/>
      <c r="G156" s="187"/>
      <c r="H156" s="188"/>
      <c r="I156" s="188"/>
      <c r="J156" s="188"/>
      <c r="K156" s="188"/>
      <c r="L156" s="253"/>
      <c r="M156" s="186"/>
      <c r="O156" s="184"/>
      <c r="P156" s="184"/>
      <c r="Q156" s="184"/>
    </row>
    <row r="157" spans="1:17" s="183" customFormat="1" x14ac:dyDescent="0.25">
      <c r="A157" s="254"/>
      <c r="B157" s="255"/>
      <c r="C157" s="256"/>
      <c r="E157" s="187"/>
      <c r="F157" s="187"/>
      <c r="G157" s="187"/>
      <c r="H157" s="188"/>
      <c r="I157" s="188"/>
      <c r="J157" s="188"/>
      <c r="K157" s="188"/>
      <c r="L157" s="253"/>
      <c r="M157" s="186"/>
      <c r="O157" s="184"/>
      <c r="P157" s="184"/>
      <c r="Q157" s="184"/>
    </row>
    <row r="158" spans="1:17" s="183" customFormat="1" x14ac:dyDescent="0.25">
      <c r="A158" s="254"/>
      <c r="B158" s="255"/>
      <c r="C158" s="256"/>
      <c r="E158" s="187"/>
      <c r="F158" s="187"/>
      <c r="G158" s="187"/>
      <c r="H158" s="188"/>
      <c r="I158" s="188"/>
      <c r="J158" s="188"/>
      <c r="K158" s="188"/>
      <c r="L158" s="253"/>
      <c r="M158" s="186"/>
      <c r="O158" s="184"/>
      <c r="P158" s="184"/>
      <c r="Q158" s="184"/>
    </row>
    <row r="159" spans="1:17" s="183" customFormat="1" x14ac:dyDescent="0.25">
      <c r="A159" s="254"/>
      <c r="B159" s="255"/>
      <c r="C159" s="256"/>
      <c r="E159" s="187"/>
      <c r="F159" s="187"/>
      <c r="G159" s="187"/>
      <c r="H159" s="188"/>
      <c r="I159" s="188"/>
      <c r="J159" s="188"/>
      <c r="K159" s="188"/>
      <c r="L159" s="253"/>
      <c r="M159" s="186"/>
      <c r="O159" s="184"/>
      <c r="P159" s="184"/>
      <c r="Q159" s="184"/>
    </row>
    <row r="160" spans="1:17" s="183" customFormat="1" x14ac:dyDescent="0.25">
      <c r="A160" s="254"/>
      <c r="B160" s="255"/>
      <c r="C160" s="256"/>
      <c r="E160" s="187"/>
      <c r="F160" s="187"/>
      <c r="G160" s="187"/>
      <c r="H160" s="188"/>
      <c r="I160" s="188"/>
      <c r="J160" s="188"/>
      <c r="K160" s="188"/>
      <c r="L160" s="253"/>
      <c r="M160" s="186"/>
      <c r="O160" s="184"/>
      <c r="P160" s="184"/>
      <c r="Q160" s="184"/>
    </row>
    <row r="161" spans="1:17" s="183" customFormat="1" x14ac:dyDescent="0.25">
      <c r="A161" s="254"/>
      <c r="B161" s="255"/>
      <c r="C161" s="256"/>
      <c r="E161" s="187"/>
      <c r="F161" s="187"/>
      <c r="G161" s="187"/>
      <c r="H161" s="188"/>
      <c r="I161" s="188"/>
      <c r="J161" s="188"/>
      <c r="K161" s="188"/>
      <c r="L161" s="253"/>
      <c r="M161" s="186"/>
      <c r="O161" s="184"/>
      <c r="P161" s="184"/>
      <c r="Q161" s="184"/>
    </row>
    <row r="162" spans="1:17" s="183" customFormat="1" x14ac:dyDescent="0.25">
      <c r="A162" s="254"/>
      <c r="B162" s="255"/>
      <c r="C162" s="256"/>
      <c r="E162" s="187"/>
      <c r="F162" s="187"/>
      <c r="G162" s="187"/>
      <c r="H162" s="188"/>
      <c r="I162" s="188"/>
      <c r="J162" s="188"/>
      <c r="K162" s="188"/>
      <c r="L162" s="253"/>
      <c r="M162" s="186"/>
      <c r="O162" s="184"/>
      <c r="P162" s="184"/>
      <c r="Q162" s="184"/>
    </row>
  </sheetData>
  <sheetProtection password="FB6B" sheet="1" formatCells="0" formatColumns="0" formatRows="0"/>
  <mergeCells count="86">
    <mergeCell ref="N36:N37"/>
    <mergeCell ref="B38:D38"/>
    <mergeCell ref="B39:D39"/>
    <mergeCell ref="B40:D40"/>
    <mergeCell ref="G36:G37"/>
    <mergeCell ref="H36:H37"/>
    <mergeCell ref="K36:K37"/>
    <mergeCell ref="I36:I37"/>
    <mergeCell ref="J36:J37"/>
    <mergeCell ref="N24:N25"/>
    <mergeCell ref="G24:H24"/>
    <mergeCell ref="I24:I25"/>
    <mergeCell ref="J24:J25"/>
    <mergeCell ref="K24:K25"/>
    <mergeCell ref="L24:M24"/>
    <mergeCell ref="A14:B14"/>
    <mergeCell ref="C14:F14"/>
    <mergeCell ref="A15:B15"/>
    <mergeCell ref="C15:F15"/>
    <mergeCell ref="A16:B16"/>
    <mergeCell ref="C16:F16"/>
    <mergeCell ref="M1:N1"/>
    <mergeCell ref="M2:N2"/>
    <mergeCell ref="A1:C1"/>
    <mergeCell ref="A43:K43"/>
    <mergeCell ref="A42:M42"/>
    <mergeCell ref="B28:D28"/>
    <mergeCell ref="B30:D30"/>
    <mergeCell ref="B32:D32"/>
    <mergeCell ref="A41:M41"/>
    <mergeCell ref="A20:B20"/>
    <mergeCell ref="F24:F25"/>
    <mergeCell ref="B27:D27"/>
    <mergeCell ref="B29:D29"/>
    <mergeCell ref="B31:D31"/>
    <mergeCell ref="B33:D33"/>
    <mergeCell ref="E24:E25"/>
    <mergeCell ref="A48:B48"/>
    <mergeCell ref="C48:G48"/>
    <mergeCell ref="C20:F20"/>
    <mergeCell ref="A21:B21"/>
    <mergeCell ref="C21:F21"/>
    <mergeCell ref="A22:B22"/>
    <mergeCell ref="B26:D26"/>
    <mergeCell ref="A35:D35"/>
    <mergeCell ref="A36:A37"/>
    <mergeCell ref="B36:D37"/>
    <mergeCell ref="E36:E37"/>
    <mergeCell ref="F36:F37"/>
    <mergeCell ref="A13:B13"/>
    <mergeCell ref="C13:F13"/>
    <mergeCell ref="A46:B46"/>
    <mergeCell ref="C46:G46"/>
    <mergeCell ref="A47:B47"/>
    <mergeCell ref="C47:G47"/>
    <mergeCell ref="C22:F22"/>
    <mergeCell ref="A17:B17"/>
    <mergeCell ref="B34:D34"/>
    <mergeCell ref="B24:D25"/>
    <mergeCell ref="A24:A25"/>
    <mergeCell ref="C17:F17"/>
    <mergeCell ref="A18:B18"/>
    <mergeCell ref="C18:F18"/>
    <mergeCell ref="A19:B19"/>
    <mergeCell ref="C19:F19"/>
    <mergeCell ref="C10:F10"/>
    <mergeCell ref="A11:B11"/>
    <mergeCell ref="C11:F11"/>
    <mergeCell ref="A12:B12"/>
    <mergeCell ref="C12:F12"/>
    <mergeCell ref="J46:N46"/>
    <mergeCell ref="A3:N3"/>
    <mergeCell ref="M23:N23"/>
    <mergeCell ref="G5:H5"/>
    <mergeCell ref="I5:J5"/>
    <mergeCell ref="K5:L5"/>
    <mergeCell ref="M5:N5"/>
    <mergeCell ref="A7:B7"/>
    <mergeCell ref="C7:F7"/>
    <mergeCell ref="A5:B6"/>
    <mergeCell ref="C5:F6"/>
    <mergeCell ref="A8:B8"/>
    <mergeCell ref="C8:F8"/>
    <mergeCell ref="A9:B9"/>
    <mergeCell ref="C9:F9"/>
    <mergeCell ref="A10:B10"/>
  </mergeCells>
  <hyperlinks>
    <hyperlink ref="A44" r:id="rId1" xr:uid="{00000000-0004-0000-0400-000000000000}"/>
  </hyperlinks>
  <pageMargins left="0.19685039370078741" right="0.27559055118110237" top="0.59055118110236227" bottom="0.35433070866141736" header="0.39370078740157483" footer="0.31496062992125984"/>
  <pageSetup paperSize="9" scale="43" orientation="landscape" r:id="rId2"/>
  <headerFooter alignWithMargins="0">
    <oddFooter>&amp;RСтор.  &amp;P</oddFooter>
  </headerFooter>
  <rowBreaks count="2" manualBreakCount="2">
    <brk id="44" max="16383" man="1"/>
    <brk id="54" max="21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Аркуш7">
    <tabColor rgb="FF92D050"/>
  </sheetPr>
  <dimension ref="A1:AO125"/>
  <sheetViews>
    <sheetView showGridLines="0" tabSelected="1" view="pageBreakPreview" zoomScale="90" zoomScaleNormal="60" zoomScaleSheetLayoutView="90" zoomScalePageLayoutView="50" workbookViewId="0">
      <selection activeCell="A59" sqref="A59:XFD59"/>
    </sheetView>
  </sheetViews>
  <sheetFormatPr defaultColWidth="8.85546875" defaultRowHeight="18.75" x14ac:dyDescent="0.25"/>
  <cols>
    <col min="1" max="1" width="41.5703125" style="2" customWidth="1"/>
    <col min="2" max="2" width="17.42578125" style="118" customWidth="1"/>
    <col min="3" max="3" width="13.5703125" style="118" customWidth="1"/>
    <col min="4" max="4" width="17.5703125" style="118" customWidth="1"/>
    <col min="5" max="5" width="21.42578125" style="4" customWidth="1"/>
    <col min="6" max="6" width="21.42578125" style="561" customWidth="1"/>
    <col min="7" max="7" width="28.140625" style="4" customWidth="1"/>
    <col min="8" max="8" width="21" style="4" customWidth="1"/>
    <col min="9" max="9" width="18" style="76" customWidth="1"/>
    <col min="10" max="10" width="27.140625" style="76" customWidth="1"/>
    <col min="11" max="11" width="7.42578125" style="76" customWidth="1"/>
    <col min="12" max="12" width="8.140625" style="76" customWidth="1"/>
    <col min="13" max="13" width="10.42578125" style="183" customWidth="1"/>
    <col min="14" max="14" width="19.5703125" style="183" customWidth="1"/>
    <col min="15" max="15" width="16.140625" style="183" customWidth="1"/>
    <col min="16" max="41" width="8.85546875" style="183"/>
    <col min="42" max="238" width="8.85546875" style="2"/>
    <col min="239" max="239" width="78.5703125" style="2" customWidth="1"/>
    <col min="240" max="242" width="19.42578125" style="2" customWidth="1"/>
    <col min="243" max="16384" width="8.85546875" style="2"/>
  </cols>
  <sheetData>
    <row r="1" spans="1:41" ht="27" customHeight="1" x14ac:dyDescent="0.25">
      <c r="A1" s="805" t="s">
        <v>0</v>
      </c>
      <c r="B1" s="805"/>
      <c r="C1" s="805"/>
      <c r="D1" s="573">
        <f>'Звіт 1,2,3'!D1</f>
        <v>37650571</v>
      </c>
      <c r="E1" s="119" t="s">
        <v>1</v>
      </c>
      <c r="F1" s="573">
        <f>'Звіт 1,2,3'!H1</f>
        <v>150</v>
      </c>
      <c r="G1" s="1"/>
      <c r="I1" s="1008" t="s">
        <v>3</v>
      </c>
      <c r="J1" s="1008"/>
      <c r="K1" s="594"/>
      <c r="L1" s="209"/>
      <c r="O1" s="184"/>
      <c r="P1" s="184"/>
      <c r="Q1" s="184"/>
    </row>
    <row r="2" spans="1:41" ht="22.35" customHeight="1" x14ac:dyDescent="0.25">
      <c r="A2" s="28"/>
      <c r="B2" s="1"/>
      <c r="C2" s="2"/>
      <c r="E2" s="118"/>
      <c r="F2" s="156"/>
      <c r="G2" s="118"/>
      <c r="H2" s="118"/>
      <c r="I2" s="1009" t="s">
        <v>369</v>
      </c>
      <c r="J2" s="1009"/>
      <c r="K2" s="595"/>
      <c r="L2" s="158"/>
      <c r="O2" s="184"/>
      <c r="P2" s="184"/>
      <c r="Q2" s="184"/>
    </row>
    <row r="3" spans="1:41" ht="32.450000000000003" customHeight="1" x14ac:dyDescent="0.25">
      <c r="A3" s="851" t="s">
        <v>429</v>
      </c>
      <c r="B3" s="851"/>
      <c r="C3" s="851"/>
      <c r="D3" s="851"/>
      <c r="E3" s="851"/>
      <c r="F3" s="851"/>
      <c r="G3" s="851"/>
      <c r="H3" s="851"/>
      <c r="I3" s="851"/>
      <c r="J3" s="851"/>
      <c r="K3" s="22"/>
      <c r="L3" s="22"/>
      <c r="M3" s="185"/>
      <c r="N3" s="185"/>
      <c r="O3" s="184"/>
      <c r="P3" s="184"/>
      <c r="Q3" s="184"/>
    </row>
    <row r="4" spans="1:41" ht="23.45" customHeight="1" x14ac:dyDescent="0.25">
      <c r="A4" s="19" t="s">
        <v>426</v>
      </c>
      <c r="B4" s="9"/>
      <c r="C4" s="9"/>
      <c r="D4" s="9"/>
      <c r="E4" s="118"/>
      <c r="F4" s="156"/>
      <c r="G4" s="118"/>
      <c r="H4" s="118"/>
    </row>
    <row r="5" spans="1:41" ht="20.45" customHeight="1" x14ac:dyDescent="0.25">
      <c r="A5" s="19"/>
      <c r="B5" s="9"/>
      <c r="C5" s="9"/>
      <c r="D5" s="9"/>
      <c r="E5" s="118"/>
      <c r="F5" s="156"/>
      <c r="G5" s="118"/>
      <c r="J5" s="578" t="s">
        <v>444</v>
      </c>
    </row>
    <row r="6" spans="1:41" s="12" customFormat="1" ht="70.349999999999994" customHeight="1" x14ac:dyDescent="0.25">
      <c r="A6" s="996" t="s">
        <v>102</v>
      </c>
      <c r="B6" s="996"/>
      <c r="C6" s="996"/>
      <c r="D6" s="543" t="s">
        <v>59</v>
      </c>
      <c r="E6" s="544" t="s">
        <v>103</v>
      </c>
      <c r="F6" s="550" t="s">
        <v>622</v>
      </c>
      <c r="G6" s="544" t="s">
        <v>623</v>
      </c>
      <c r="H6" s="544" t="s">
        <v>104</v>
      </c>
      <c r="I6" s="550" t="s">
        <v>622</v>
      </c>
      <c r="J6" s="544" t="s">
        <v>724</v>
      </c>
      <c r="K6" s="20"/>
      <c r="L6" s="2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</row>
    <row r="7" spans="1:41" s="12" customFormat="1" ht="23.25" customHeight="1" x14ac:dyDescent="0.3">
      <c r="A7" s="1005">
        <v>1</v>
      </c>
      <c r="B7" s="1005"/>
      <c r="C7" s="1005"/>
      <c r="D7" s="546">
        <v>2</v>
      </c>
      <c r="E7" s="575">
        <v>3</v>
      </c>
      <c r="F7" s="575">
        <v>4</v>
      </c>
      <c r="G7" s="575">
        <v>5</v>
      </c>
      <c r="H7" s="575">
        <v>6</v>
      </c>
      <c r="I7" s="575">
        <v>7</v>
      </c>
      <c r="J7" s="575">
        <v>8</v>
      </c>
      <c r="K7" s="20"/>
      <c r="L7" s="2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</row>
    <row r="8" spans="1:41" s="12" customFormat="1" ht="21" customHeight="1" x14ac:dyDescent="0.25">
      <c r="A8" s="1006" t="s">
        <v>349</v>
      </c>
      <c r="B8" s="1006"/>
      <c r="C8" s="1006"/>
      <c r="D8" s="547"/>
      <c r="E8" s="547"/>
      <c r="F8" s="551"/>
      <c r="G8" s="547"/>
      <c r="H8" s="547"/>
      <c r="I8" s="545"/>
      <c r="J8" s="545"/>
      <c r="K8" s="20"/>
      <c r="L8" s="2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</row>
    <row r="9" spans="1:41" s="12" customFormat="1" ht="22.35" customHeight="1" x14ac:dyDescent="0.3">
      <c r="A9" s="1007" t="s">
        <v>105</v>
      </c>
      <c r="B9" s="1007"/>
      <c r="C9" s="1007"/>
      <c r="D9" s="52">
        <v>1000</v>
      </c>
      <c r="E9" s="278">
        <f>E10+E11</f>
        <v>0</v>
      </c>
      <c r="F9" s="552">
        <f>F10+F11</f>
        <v>0</v>
      </c>
      <c r="G9" s="562">
        <f>E9+F9</f>
        <v>0</v>
      </c>
      <c r="H9" s="278">
        <f>H10+H11</f>
        <v>0</v>
      </c>
      <c r="I9" s="552">
        <f>I10+I11</f>
        <v>0</v>
      </c>
      <c r="J9" s="562">
        <f>H9+I9</f>
        <v>0</v>
      </c>
      <c r="K9" s="20"/>
      <c r="L9" s="2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</row>
    <row r="10" spans="1:41" s="12" customFormat="1" ht="22.35" customHeight="1" x14ac:dyDescent="0.3">
      <c r="A10" s="992" t="s">
        <v>106</v>
      </c>
      <c r="B10" s="992"/>
      <c r="C10" s="992"/>
      <c r="D10" s="49">
        <v>1001</v>
      </c>
      <c r="E10" s="276">
        <v>0</v>
      </c>
      <c r="F10" s="276">
        <v>0</v>
      </c>
      <c r="G10" s="562">
        <f>E10+F10</f>
        <v>0</v>
      </c>
      <c r="H10" s="276">
        <v>0</v>
      </c>
      <c r="I10" s="276">
        <v>0</v>
      </c>
      <c r="J10" s="562">
        <f>H10+I10</f>
        <v>0</v>
      </c>
      <c r="K10" s="20"/>
      <c r="L10" s="2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</row>
    <row r="11" spans="1:41" s="12" customFormat="1" ht="22.35" customHeight="1" x14ac:dyDescent="0.3">
      <c r="A11" s="992" t="s">
        <v>317</v>
      </c>
      <c r="B11" s="992"/>
      <c r="C11" s="992"/>
      <c r="D11" s="48">
        <v>1002</v>
      </c>
      <c r="E11" s="276">
        <v>0</v>
      </c>
      <c r="F11" s="276">
        <v>0</v>
      </c>
      <c r="G11" s="562">
        <f t="shared" ref="G11:G73" si="0">E11+F11</f>
        <v>0</v>
      </c>
      <c r="H11" s="276">
        <v>0</v>
      </c>
      <c r="I11" s="276">
        <v>0</v>
      </c>
      <c r="J11" s="562">
        <f t="shared" ref="J11:J74" si="1">H11+I11</f>
        <v>0</v>
      </c>
      <c r="K11" s="20"/>
      <c r="L11" s="2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</row>
    <row r="12" spans="1:41" s="12" customFormat="1" ht="22.35" customHeight="1" x14ac:dyDescent="0.3">
      <c r="A12" s="987" t="s">
        <v>107</v>
      </c>
      <c r="B12" s="987"/>
      <c r="C12" s="987"/>
      <c r="D12" s="48">
        <v>1005</v>
      </c>
      <c r="E12" s="276">
        <v>0</v>
      </c>
      <c r="F12" s="276">
        <v>0</v>
      </c>
      <c r="G12" s="562">
        <f t="shared" si="0"/>
        <v>0</v>
      </c>
      <c r="H12" s="276">
        <v>0</v>
      </c>
      <c r="I12" s="276">
        <v>0</v>
      </c>
      <c r="J12" s="562">
        <f t="shared" si="1"/>
        <v>0</v>
      </c>
      <c r="K12" s="20"/>
      <c r="L12" s="2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</row>
    <row r="13" spans="1:41" s="12" customFormat="1" ht="22.35" customHeight="1" x14ac:dyDescent="0.3">
      <c r="A13" s="1007" t="s">
        <v>108</v>
      </c>
      <c r="B13" s="1007"/>
      <c r="C13" s="1007"/>
      <c r="D13" s="52">
        <v>1010</v>
      </c>
      <c r="E13" s="278">
        <f>E14+E15</f>
        <v>6147.2000000000007</v>
      </c>
      <c r="F13" s="552">
        <f>F14+F15</f>
        <v>0</v>
      </c>
      <c r="G13" s="562">
        <f t="shared" si="0"/>
        <v>6147.2000000000007</v>
      </c>
      <c r="H13" s="278">
        <f>H14+H15</f>
        <v>5988.3000000000011</v>
      </c>
      <c r="I13" s="552">
        <f>I14+I15</f>
        <v>0</v>
      </c>
      <c r="J13" s="562">
        <f t="shared" si="1"/>
        <v>5988.3000000000011</v>
      </c>
      <c r="K13" s="20"/>
      <c r="L13" s="2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</row>
    <row r="14" spans="1:41" s="12" customFormat="1" ht="22.35" customHeight="1" x14ac:dyDescent="0.3">
      <c r="A14" s="992" t="s">
        <v>106</v>
      </c>
      <c r="B14" s="992"/>
      <c r="C14" s="992"/>
      <c r="D14" s="49">
        <v>1011</v>
      </c>
      <c r="E14" s="276">
        <v>12305.7</v>
      </c>
      <c r="F14" s="276">
        <v>0</v>
      </c>
      <c r="G14" s="562">
        <f t="shared" si="0"/>
        <v>12305.7</v>
      </c>
      <c r="H14" s="276">
        <v>12305.7</v>
      </c>
      <c r="I14" s="276">
        <v>0</v>
      </c>
      <c r="J14" s="562">
        <f t="shared" si="1"/>
        <v>12305.7</v>
      </c>
      <c r="K14" s="20"/>
      <c r="L14" s="2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</row>
    <row r="15" spans="1:41" s="12" customFormat="1" ht="22.35" customHeight="1" x14ac:dyDescent="0.3">
      <c r="A15" s="992" t="s">
        <v>318</v>
      </c>
      <c r="B15" s="992"/>
      <c r="C15" s="992"/>
      <c r="D15" s="49">
        <v>1012</v>
      </c>
      <c r="E15" s="276">
        <v>-6158.5</v>
      </c>
      <c r="F15" s="276">
        <v>0</v>
      </c>
      <c r="G15" s="562">
        <f t="shared" si="0"/>
        <v>-6158.5</v>
      </c>
      <c r="H15" s="276">
        <v>-6317.4</v>
      </c>
      <c r="I15" s="276">
        <v>0</v>
      </c>
      <c r="J15" s="562">
        <f t="shared" si="1"/>
        <v>-6317.4</v>
      </c>
      <c r="K15" s="20"/>
      <c r="L15" s="2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</row>
    <row r="16" spans="1:41" s="12" customFormat="1" ht="22.35" customHeight="1" x14ac:dyDescent="0.3">
      <c r="A16" s="987" t="s">
        <v>109</v>
      </c>
      <c r="B16" s="987"/>
      <c r="C16" s="987"/>
      <c r="D16" s="48">
        <v>1015</v>
      </c>
      <c r="E16" s="276">
        <v>0</v>
      </c>
      <c r="F16" s="276">
        <v>0</v>
      </c>
      <c r="G16" s="562">
        <f t="shared" si="0"/>
        <v>0</v>
      </c>
      <c r="H16" s="276">
        <v>0</v>
      </c>
      <c r="I16" s="276">
        <v>0</v>
      </c>
      <c r="J16" s="562">
        <f t="shared" si="1"/>
        <v>0</v>
      </c>
      <c r="K16" s="20"/>
      <c r="L16" s="2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</row>
    <row r="17" spans="1:41" s="12" customFormat="1" ht="24" customHeight="1" x14ac:dyDescent="0.3">
      <c r="A17" s="987" t="s">
        <v>110</v>
      </c>
      <c r="B17" s="987"/>
      <c r="C17" s="987"/>
      <c r="D17" s="48">
        <v>1020</v>
      </c>
      <c r="E17" s="276">
        <v>0</v>
      </c>
      <c r="F17" s="276">
        <v>0</v>
      </c>
      <c r="G17" s="562">
        <f t="shared" si="0"/>
        <v>0</v>
      </c>
      <c r="H17" s="276">
        <v>0</v>
      </c>
      <c r="I17" s="276">
        <v>0</v>
      </c>
      <c r="J17" s="562">
        <f t="shared" si="1"/>
        <v>0</v>
      </c>
      <c r="K17" s="20"/>
      <c r="L17" s="2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</row>
    <row r="18" spans="1:41" s="12" customFormat="1" ht="21.6" customHeight="1" x14ac:dyDescent="0.3">
      <c r="A18" s="987" t="s">
        <v>350</v>
      </c>
      <c r="B18" s="987"/>
      <c r="C18" s="987"/>
      <c r="D18" s="48"/>
      <c r="E18" s="276"/>
      <c r="F18" s="276"/>
      <c r="G18" s="562">
        <f t="shared" si="0"/>
        <v>0</v>
      </c>
      <c r="H18" s="276"/>
      <c r="I18" s="276"/>
      <c r="J18" s="562">
        <f t="shared" si="1"/>
        <v>0</v>
      </c>
      <c r="K18" s="20"/>
      <c r="L18" s="2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</row>
    <row r="19" spans="1:41" s="12" customFormat="1" ht="38.1" customHeight="1" x14ac:dyDescent="0.3">
      <c r="A19" s="986" t="s">
        <v>111</v>
      </c>
      <c r="B19" s="986"/>
      <c r="C19" s="986"/>
      <c r="D19" s="48">
        <v>1030</v>
      </c>
      <c r="E19" s="276">
        <v>0</v>
      </c>
      <c r="F19" s="276">
        <v>0</v>
      </c>
      <c r="G19" s="562">
        <f t="shared" si="0"/>
        <v>0</v>
      </c>
      <c r="H19" s="276">
        <v>0</v>
      </c>
      <c r="I19" s="276">
        <v>0</v>
      </c>
      <c r="J19" s="562">
        <f t="shared" si="1"/>
        <v>0</v>
      </c>
      <c r="K19" s="20"/>
      <c r="L19" s="2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</row>
    <row r="20" spans="1:41" s="12" customFormat="1" ht="22.35" customHeight="1" x14ac:dyDescent="0.3">
      <c r="A20" s="986" t="s">
        <v>112</v>
      </c>
      <c r="B20" s="986"/>
      <c r="C20" s="986"/>
      <c r="D20" s="48">
        <v>1035</v>
      </c>
      <c r="E20" s="276">
        <v>0</v>
      </c>
      <c r="F20" s="276">
        <v>0</v>
      </c>
      <c r="G20" s="562">
        <f t="shared" si="0"/>
        <v>0</v>
      </c>
      <c r="H20" s="276">
        <v>0</v>
      </c>
      <c r="I20" s="276">
        <v>0</v>
      </c>
      <c r="J20" s="562">
        <f t="shared" si="1"/>
        <v>0</v>
      </c>
      <c r="K20" s="20"/>
      <c r="L20" s="2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</row>
    <row r="21" spans="1:41" s="12" customFormat="1" ht="22.35" customHeight="1" x14ac:dyDescent="0.3">
      <c r="A21" s="987" t="s">
        <v>113</v>
      </c>
      <c r="B21" s="987"/>
      <c r="C21" s="987"/>
      <c r="D21" s="48">
        <v>1040</v>
      </c>
      <c r="E21" s="276">
        <v>0</v>
      </c>
      <c r="F21" s="276">
        <v>0</v>
      </c>
      <c r="G21" s="562">
        <f t="shared" si="0"/>
        <v>0</v>
      </c>
      <c r="H21" s="276">
        <v>0</v>
      </c>
      <c r="I21" s="276">
        <v>0</v>
      </c>
      <c r="J21" s="562">
        <f t="shared" si="1"/>
        <v>0</v>
      </c>
      <c r="K21" s="20"/>
      <c r="L21" s="2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</row>
    <row r="22" spans="1:41" s="12" customFormat="1" ht="22.35" customHeight="1" x14ac:dyDescent="0.3">
      <c r="A22" s="987" t="s">
        <v>114</v>
      </c>
      <c r="B22" s="987"/>
      <c r="C22" s="987"/>
      <c r="D22" s="48">
        <v>1045</v>
      </c>
      <c r="E22" s="276">
        <v>0</v>
      </c>
      <c r="F22" s="276">
        <v>0</v>
      </c>
      <c r="G22" s="562">
        <f t="shared" si="0"/>
        <v>0</v>
      </c>
      <c r="H22" s="276">
        <v>0</v>
      </c>
      <c r="I22" s="276">
        <v>0</v>
      </c>
      <c r="J22" s="562">
        <f t="shared" si="1"/>
        <v>0</v>
      </c>
      <c r="K22" s="20"/>
      <c r="L22" s="2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</row>
    <row r="23" spans="1:41" s="12" customFormat="1" ht="22.35" customHeight="1" x14ac:dyDescent="0.3">
      <c r="A23" s="987" t="s">
        <v>115</v>
      </c>
      <c r="B23" s="987"/>
      <c r="C23" s="987"/>
      <c r="D23" s="48">
        <v>1090</v>
      </c>
      <c r="E23" s="276">
        <v>0</v>
      </c>
      <c r="F23" s="276">
        <v>0</v>
      </c>
      <c r="G23" s="562">
        <f t="shared" si="0"/>
        <v>0</v>
      </c>
      <c r="H23" s="276">
        <v>0</v>
      </c>
      <c r="I23" s="276">
        <v>0</v>
      </c>
      <c r="J23" s="562">
        <f t="shared" si="1"/>
        <v>0</v>
      </c>
      <c r="K23" s="20"/>
      <c r="L23" s="2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</row>
    <row r="24" spans="1:41" s="12" customFormat="1" ht="22.35" customHeight="1" x14ac:dyDescent="0.35">
      <c r="A24" s="993" t="s">
        <v>116</v>
      </c>
      <c r="B24" s="993"/>
      <c r="C24" s="993"/>
      <c r="D24" s="52">
        <v>1095</v>
      </c>
      <c r="E24" s="277">
        <f>SUM(E9,E12,E13,E16,E17,E19,E20,E21,E22,E23)</f>
        <v>6147.2000000000007</v>
      </c>
      <c r="F24" s="277">
        <f>SUM(F9,F12,F13,F16,F17,F19,F20,F21,F22,F23)</f>
        <v>0</v>
      </c>
      <c r="G24" s="563">
        <f t="shared" si="0"/>
        <v>6147.2000000000007</v>
      </c>
      <c r="H24" s="277">
        <f>SUM(H9,H12,H13,H16,H17,H19,H20,H21,H22,H23)</f>
        <v>5988.3000000000011</v>
      </c>
      <c r="I24" s="277">
        <f>SUM(I9,I12,I13,I16,I17,I19,I20,I21,I22,I23)</f>
        <v>0</v>
      </c>
      <c r="J24" s="563">
        <f t="shared" si="1"/>
        <v>5988.3000000000011</v>
      </c>
      <c r="K24" s="20"/>
      <c r="L24" s="2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</row>
    <row r="25" spans="1:41" s="12" customFormat="1" ht="22.35" customHeight="1" x14ac:dyDescent="0.35">
      <c r="A25" s="1002" t="s">
        <v>354</v>
      </c>
      <c r="B25" s="1003"/>
      <c r="C25" s="1004"/>
      <c r="D25" s="549"/>
      <c r="E25" s="549"/>
      <c r="F25" s="553"/>
      <c r="G25" s="564">
        <f t="shared" si="0"/>
        <v>0</v>
      </c>
      <c r="H25" s="549"/>
      <c r="I25" s="553"/>
      <c r="J25" s="564">
        <f t="shared" si="1"/>
        <v>0</v>
      </c>
      <c r="K25" s="20"/>
      <c r="L25" s="2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</row>
    <row r="26" spans="1:41" s="12" customFormat="1" ht="22.35" customHeight="1" x14ac:dyDescent="0.3">
      <c r="A26" s="987" t="s">
        <v>50</v>
      </c>
      <c r="B26" s="987"/>
      <c r="C26" s="987"/>
      <c r="D26" s="48">
        <v>1100</v>
      </c>
      <c r="E26" s="276">
        <v>257.7</v>
      </c>
      <c r="F26" s="276">
        <v>0</v>
      </c>
      <c r="G26" s="562">
        <f t="shared" si="0"/>
        <v>257.7</v>
      </c>
      <c r="H26" s="276">
        <v>218.9</v>
      </c>
      <c r="I26" s="276">
        <v>0</v>
      </c>
      <c r="J26" s="562">
        <f t="shared" si="1"/>
        <v>218.9</v>
      </c>
      <c r="K26" s="20"/>
      <c r="L26" s="2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</row>
    <row r="27" spans="1:41" s="12" customFormat="1" ht="22.35" customHeight="1" x14ac:dyDescent="0.3">
      <c r="A27" s="987" t="s">
        <v>117</v>
      </c>
      <c r="B27" s="987"/>
      <c r="C27" s="987"/>
      <c r="D27" s="48">
        <v>1110</v>
      </c>
      <c r="E27" s="276">
        <v>0</v>
      </c>
      <c r="F27" s="276">
        <v>0</v>
      </c>
      <c r="G27" s="562">
        <f t="shared" si="0"/>
        <v>0</v>
      </c>
      <c r="H27" s="276">
        <v>0</v>
      </c>
      <c r="I27" s="276">
        <v>0</v>
      </c>
      <c r="J27" s="562">
        <f t="shared" si="1"/>
        <v>0</v>
      </c>
      <c r="K27" s="20"/>
      <c r="L27" s="2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</row>
    <row r="28" spans="1:41" s="12" customFormat="1" ht="35.450000000000003" customHeight="1" x14ac:dyDescent="0.3">
      <c r="A28" s="987" t="s">
        <v>118</v>
      </c>
      <c r="B28" s="987"/>
      <c r="C28" s="987"/>
      <c r="D28" s="48">
        <v>1125</v>
      </c>
      <c r="E28" s="276">
        <v>0</v>
      </c>
      <c r="F28" s="276">
        <v>0</v>
      </c>
      <c r="G28" s="562">
        <f t="shared" si="0"/>
        <v>0</v>
      </c>
      <c r="H28" s="276">
        <v>0</v>
      </c>
      <c r="I28" s="276">
        <v>0</v>
      </c>
      <c r="J28" s="562">
        <f t="shared" si="1"/>
        <v>0</v>
      </c>
      <c r="K28" s="20"/>
      <c r="L28" s="2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</row>
    <row r="29" spans="1:41" s="12" customFormat="1" ht="22.35" customHeight="1" x14ac:dyDescent="0.3">
      <c r="A29" s="1001" t="s">
        <v>156</v>
      </c>
      <c r="B29" s="1001"/>
      <c r="C29" s="1001"/>
      <c r="D29" s="48"/>
      <c r="E29" s="276">
        <v>0</v>
      </c>
      <c r="F29" s="276">
        <v>0</v>
      </c>
      <c r="G29" s="562">
        <f t="shared" si="0"/>
        <v>0</v>
      </c>
      <c r="H29" s="276">
        <v>0</v>
      </c>
      <c r="I29" s="276">
        <v>0</v>
      </c>
      <c r="J29" s="562">
        <f t="shared" si="1"/>
        <v>0</v>
      </c>
      <c r="K29" s="20"/>
      <c r="L29" s="20"/>
      <c r="M29" s="180"/>
      <c r="N29" s="180"/>
      <c r="O29" s="466">
        <v>36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</row>
    <row r="30" spans="1:41" s="12" customFormat="1" ht="24" customHeight="1" x14ac:dyDescent="0.3">
      <c r="A30" s="987" t="s">
        <v>442</v>
      </c>
      <c r="B30" s="987"/>
      <c r="C30" s="987"/>
      <c r="D30" s="48"/>
      <c r="E30" s="276">
        <v>0</v>
      </c>
      <c r="F30" s="276">
        <v>0</v>
      </c>
      <c r="G30" s="562">
        <f t="shared" si="0"/>
        <v>0</v>
      </c>
      <c r="H30" s="276">
        <v>0</v>
      </c>
      <c r="I30" s="276">
        <v>0</v>
      </c>
      <c r="J30" s="562">
        <f t="shared" si="1"/>
        <v>0</v>
      </c>
      <c r="K30" s="20"/>
      <c r="L30" s="2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</row>
    <row r="31" spans="1:41" s="12" customFormat="1" ht="22.35" customHeight="1" x14ac:dyDescent="0.3">
      <c r="A31" s="987" t="s">
        <v>119</v>
      </c>
      <c r="B31" s="987"/>
      <c r="C31" s="987"/>
      <c r="D31" s="48">
        <v>1130</v>
      </c>
      <c r="E31" s="276">
        <v>0</v>
      </c>
      <c r="F31" s="276">
        <v>0</v>
      </c>
      <c r="G31" s="562">
        <f t="shared" si="0"/>
        <v>0</v>
      </c>
      <c r="H31" s="276">
        <v>0</v>
      </c>
      <c r="I31" s="276">
        <v>0</v>
      </c>
      <c r="J31" s="562">
        <f t="shared" si="1"/>
        <v>0</v>
      </c>
      <c r="K31" s="20"/>
      <c r="L31" s="2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</row>
    <row r="32" spans="1:41" s="12" customFormat="1" ht="22.35" customHeight="1" x14ac:dyDescent="0.3">
      <c r="A32" s="987" t="s">
        <v>120</v>
      </c>
      <c r="B32" s="987"/>
      <c r="C32" s="987"/>
      <c r="D32" s="48">
        <v>1135</v>
      </c>
      <c r="E32" s="276">
        <v>0</v>
      </c>
      <c r="F32" s="276">
        <v>0</v>
      </c>
      <c r="G32" s="562">
        <f t="shared" si="0"/>
        <v>0</v>
      </c>
      <c r="H32" s="276">
        <v>0</v>
      </c>
      <c r="I32" s="276">
        <v>0</v>
      </c>
      <c r="J32" s="562">
        <f t="shared" si="1"/>
        <v>0</v>
      </c>
      <c r="K32" s="20"/>
      <c r="L32" s="2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</row>
    <row r="33" spans="1:41" s="12" customFormat="1" ht="22.35" customHeight="1" x14ac:dyDescent="0.3">
      <c r="A33" s="1000" t="s">
        <v>121</v>
      </c>
      <c r="B33" s="1000"/>
      <c r="C33" s="1000"/>
      <c r="D33" s="50">
        <v>1136</v>
      </c>
      <c r="E33" s="276">
        <v>0</v>
      </c>
      <c r="F33" s="276">
        <v>0</v>
      </c>
      <c r="G33" s="562">
        <f t="shared" si="0"/>
        <v>0</v>
      </c>
      <c r="H33" s="276">
        <v>0</v>
      </c>
      <c r="I33" s="276">
        <v>0</v>
      </c>
      <c r="J33" s="562">
        <f t="shared" si="1"/>
        <v>0</v>
      </c>
      <c r="K33" s="20"/>
      <c r="L33" s="2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</row>
    <row r="34" spans="1:41" s="12" customFormat="1" ht="22.35" customHeight="1" x14ac:dyDescent="0.3">
      <c r="A34" s="987" t="s">
        <v>151</v>
      </c>
      <c r="B34" s="987"/>
      <c r="C34" s="987"/>
      <c r="D34" s="48">
        <v>1155</v>
      </c>
      <c r="E34" s="276">
        <v>0</v>
      </c>
      <c r="F34" s="276">
        <v>0</v>
      </c>
      <c r="G34" s="562">
        <f t="shared" si="0"/>
        <v>0</v>
      </c>
      <c r="H34" s="276">
        <v>2.8</v>
      </c>
      <c r="I34" s="276">
        <v>0</v>
      </c>
      <c r="J34" s="562">
        <f t="shared" si="1"/>
        <v>2.8</v>
      </c>
      <c r="K34" s="20"/>
      <c r="L34" s="2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</row>
    <row r="35" spans="1:41" s="12" customFormat="1" ht="35.25" customHeight="1" x14ac:dyDescent="0.3">
      <c r="A35" s="992" t="s">
        <v>150</v>
      </c>
      <c r="B35" s="992"/>
      <c r="C35" s="992"/>
      <c r="D35" s="48"/>
      <c r="E35" s="276">
        <v>0</v>
      </c>
      <c r="F35" s="276">
        <v>0</v>
      </c>
      <c r="G35" s="562">
        <f t="shared" si="0"/>
        <v>0</v>
      </c>
      <c r="H35" s="276">
        <v>2.8</v>
      </c>
      <c r="I35" s="276">
        <v>0</v>
      </c>
      <c r="J35" s="562">
        <f t="shared" si="1"/>
        <v>2.8</v>
      </c>
      <c r="K35" s="20"/>
      <c r="L35" s="2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</row>
    <row r="36" spans="1:41" s="12" customFormat="1" ht="22.35" customHeight="1" x14ac:dyDescent="0.3">
      <c r="A36" s="987" t="s">
        <v>122</v>
      </c>
      <c r="B36" s="987"/>
      <c r="C36" s="987"/>
      <c r="D36" s="48">
        <v>1160</v>
      </c>
      <c r="E36" s="276">
        <v>0</v>
      </c>
      <c r="F36" s="276">
        <v>0</v>
      </c>
      <c r="G36" s="562">
        <f t="shared" si="0"/>
        <v>0</v>
      </c>
      <c r="H36" s="276">
        <v>0</v>
      </c>
      <c r="I36" s="276">
        <v>0</v>
      </c>
      <c r="J36" s="562">
        <f t="shared" si="1"/>
        <v>0</v>
      </c>
      <c r="K36" s="20"/>
      <c r="L36" s="2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</row>
    <row r="37" spans="1:41" s="12" customFormat="1" ht="22.35" customHeight="1" x14ac:dyDescent="0.3">
      <c r="A37" s="987" t="s">
        <v>123</v>
      </c>
      <c r="B37" s="987"/>
      <c r="C37" s="987"/>
      <c r="D37" s="48">
        <v>1165</v>
      </c>
      <c r="E37" s="276">
        <v>106.7</v>
      </c>
      <c r="F37" s="276">
        <v>0</v>
      </c>
      <c r="G37" s="562">
        <f t="shared" si="0"/>
        <v>106.7</v>
      </c>
      <c r="H37" s="276">
        <v>405.3</v>
      </c>
      <c r="I37" s="276">
        <v>0</v>
      </c>
      <c r="J37" s="562">
        <f t="shared" si="1"/>
        <v>405.3</v>
      </c>
      <c r="K37" s="20"/>
      <c r="L37" s="2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</row>
    <row r="38" spans="1:41" s="12" customFormat="1" ht="22.35" customHeight="1" x14ac:dyDescent="0.3">
      <c r="A38" s="987" t="s">
        <v>124</v>
      </c>
      <c r="B38" s="987"/>
      <c r="C38" s="987"/>
      <c r="D38" s="48">
        <v>1170</v>
      </c>
      <c r="E38" s="276">
        <v>0</v>
      </c>
      <c r="F38" s="276">
        <v>175.2</v>
      </c>
      <c r="G38" s="562">
        <f t="shared" si="0"/>
        <v>175.2</v>
      </c>
      <c r="H38" s="276">
        <v>0</v>
      </c>
      <c r="I38" s="276">
        <f>226.3-63.8</f>
        <v>162.5</v>
      </c>
      <c r="J38" s="562">
        <f t="shared" si="1"/>
        <v>162.5</v>
      </c>
      <c r="K38" s="20"/>
      <c r="L38" s="2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</row>
    <row r="39" spans="1:41" s="12" customFormat="1" ht="22.35" customHeight="1" x14ac:dyDescent="0.3">
      <c r="A39" s="987" t="s">
        <v>125</v>
      </c>
      <c r="B39" s="987"/>
      <c r="C39" s="987"/>
      <c r="D39" s="48">
        <v>1190</v>
      </c>
      <c r="E39" s="276">
        <v>76.8</v>
      </c>
      <c r="F39" s="276">
        <v>0</v>
      </c>
      <c r="G39" s="562">
        <f t="shared" si="0"/>
        <v>76.8</v>
      </c>
      <c r="H39" s="276">
        <v>140.6</v>
      </c>
      <c r="I39" s="276">
        <v>0</v>
      </c>
      <c r="J39" s="562">
        <f t="shared" si="1"/>
        <v>140.6</v>
      </c>
      <c r="K39" s="20"/>
      <c r="L39" s="2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</row>
    <row r="40" spans="1:41" s="12" customFormat="1" ht="26.1" customHeight="1" x14ac:dyDescent="0.35">
      <c r="A40" s="993" t="s">
        <v>126</v>
      </c>
      <c r="B40" s="993"/>
      <c r="C40" s="993"/>
      <c r="D40" s="52">
        <v>1195</v>
      </c>
      <c r="E40" s="277">
        <f>SUM(E26,E27,E28,E31,E32,E36,E37,E38,E39,E34)</f>
        <v>441.2</v>
      </c>
      <c r="F40" s="277">
        <f>SUM(F26,F27,F28,F31,F32,F36,F37,F38,F39,F34)</f>
        <v>175.2</v>
      </c>
      <c r="G40" s="563">
        <f t="shared" si="0"/>
        <v>616.4</v>
      </c>
      <c r="H40" s="277">
        <f>SUM(H26,H27,H28,H31,H32,H36,H37,H38,H39,H34)</f>
        <v>767.6</v>
      </c>
      <c r="I40" s="277">
        <f>SUM(I26,I27,I28,I31,I32,I36,I37,I38,I39,I34)</f>
        <v>162.5</v>
      </c>
      <c r="J40" s="563">
        <f t="shared" si="1"/>
        <v>930.1</v>
      </c>
      <c r="K40" s="20"/>
      <c r="L40" s="2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</row>
    <row r="41" spans="1:41" s="12" customFormat="1" ht="37.35" customHeight="1" x14ac:dyDescent="0.3">
      <c r="A41" s="990" t="s">
        <v>127</v>
      </c>
      <c r="B41" s="990"/>
      <c r="C41" s="990"/>
      <c r="D41" s="51">
        <v>1200</v>
      </c>
      <c r="E41" s="279">
        <v>0</v>
      </c>
      <c r="F41" s="279">
        <v>0</v>
      </c>
      <c r="G41" s="565">
        <f t="shared" si="0"/>
        <v>0</v>
      </c>
      <c r="H41" s="279">
        <v>0</v>
      </c>
      <c r="I41" s="279">
        <v>0</v>
      </c>
      <c r="J41" s="565">
        <f t="shared" si="1"/>
        <v>0</v>
      </c>
      <c r="K41" s="20"/>
      <c r="L41" s="2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</row>
    <row r="42" spans="1:41" s="12" customFormat="1" ht="32.450000000000003" customHeight="1" x14ac:dyDescent="0.35">
      <c r="A42" s="995" t="s">
        <v>128</v>
      </c>
      <c r="B42" s="995"/>
      <c r="C42" s="995"/>
      <c r="D42" s="88">
        <v>1300</v>
      </c>
      <c r="E42" s="367">
        <f>SUM(E24,E40,E41)</f>
        <v>6588.4000000000005</v>
      </c>
      <c r="F42" s="554">
        <f>SUM(F24,F40,F41)</f>
        <v>175.2</v>
      </c>
      <c r="G42" s="565">
        <f t="shared" si="0"/>
        <v>6763.6</v>
      </c>
      <c r="H42" s="367">
        <f>SUM(H24,H40,H41)</f>
        <v>6755.9000000000015</v>
      </c>
      <c r="I42" s="554">
        <f>SUM(I24,I40,I41)</f>
        <v>162.5</v>
      </c>
      <c r="J42" s="565">
        <f t="shared" si="1"/>
        <v>6918.4000000000015</v>
      </c>
      <c r="K42" s="20"/>
      <c r="L42" s="2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</row>
    <row r="43" spans="1:41" s="12" customFormat="1" ht="45.6" customHeight="1" x14ac:dyDescent="0.25">
      <c r="A43" s="996" t="s">
        <v>129</v>
      </c>
      <c r="B43" s="996"/>
      <c r="C43" s="996"/>
      <c r="D43" s="543" t="str">
        <f>D6</f>
        <v>Код рядка</v>
      </c>
      <c r="E43" s="544" t="s">
        <v>103</v>
      </c>
      <c r="F43" s="550" t="str">
        <f t="shared" ref="F43:J44" si="2">F6</f>
        <v xml:space="preserve">Коригування </v>
      </c>
      <c r="G43" s="613" t="str">
        <f t="shared" si="2"/>
        <v>На початок звітного періоду з урахуванням коригування</v>
      </c>
      <c r="H43" s="573" t="str">
        <f t="shared" si="2"/>
        <v>На кінець звітного періоду</v>
      </c>
      <c r="I43" s="550" t="str">
        <f t="shared" si="2"/>
        <v xml:space="preserve">Коригування </v>
      </c>
      <c r="J43" s="573" t="str">
        <f t="shared" si="2"/>
        <v>На кінець звітного періоду з урахуванням коригування</v>
      </c>
      <c r="K43" s="20"/>
      <c r="L43" s="2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</row>
    <row r="44" spans="1:41" s="12" customFormat="1" ht="22.35" customHeight="1" x14ac:dyDescent="0.3">
      <c r="A44" s="997">
        <f>A7</f>
        <v>1</v>
      </c>
      <c r="B44" s="998"/>
      <c r="C44" s="999"/>
      <c r="D44" s="579">
        <f>D7</f>
        <v>2</v>
      </c>
      <c r="E44" s="579">
        <f>E7</f>
        <v>3</v>
      </c>
      <c r="F44" s="579">
        <f t="shared" si="2"/>
        <v>4</v>
      </c>
      <c r="G44" s="614">
        <f t="shared" si="2"/>
        <v>5</v>
      </c>
      <c r="H44" s="579">
        <f t="shared" si="2"/>
        <v>6</v>
      </c>
      <c r="I44" s="579">
        <f t="shared" si="2"/>
        <v>7</v>
      </c>
      <c r="J44" s="579">
        <f t="shared" si="2"/>
        <v>8</v>
      </c>
      <c r="K44" s="20"/>
      <c r="L44" s="2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</row>
    <row r="45" spans="1:41" s="12" customFormat="1" ht="22.35" customHeight="1" x14ac:dyDescent="0.35">
      <c r="A45" s="990" t="s">
        <v>355</v>
      </c>
      <c r="B45" s="990"/>
      <c r="C45" s="990"/>
      <c r="D45" s="51"/>
      <c r="E45" s="94"/>
      <c r="F45" s="555"/>
      <c r="G45" s="566">
        <f t="shared" si="0"/>
        <v>0</v>
      </c>
      <c r="H45" s="94"/>
      <c r="I45" s="555"/>
      <c r="J45" s="566">
        <f t="shared" si="1"/>
        <v>0</v>
      </c>
      <c r="K45" s="20"/>
      <c r="L45" s="2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</row>
    <row r="46" spans="1:41" s="12" customFormat="1" ht="22.35" customHeight="1" x14ac:dyDescent="0.3">
      <c r="A46" s="987" t="s">
        <v>685</v>
      </c>
      <c r="B46" s="987"/>
      <c r="C46" s="987"/>
      <c r="D46" s="48">
        <v>1400</v>
      </c>
      <c r="E46" s="276">
        <v>3439.8</v>
      </c>
      <c r="F46" s="276">
        <v>-3438.8</v>
      </c>
      <c r="G46" s="562">
        <f t="shared" si="0"/>
        <v>1</v>
      </c>
      <c r="H46" s="276">
        <v>3439.8</v>
      </c>
      <c r="I46" s="276">
        <v>-3438.8</v>
      </c>
      <c r="J46" s="562">
        <f t="shared" si="1"/>
        <v>1</v>
      </c>
      <c r="K46" s="20"/>
      <c r="L46" s="2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</row>
    <row r="47" spans="1:41" s="12" customFormat="1" ht="22.35" customHeight="1" x14ac:dyDescent="0.3">
      <c r="A47" s="987" t="s">
        <v>130</v>
      </c>
      <c r="B47" s="987"/>
      <c r="C47" s="987"/>
      <c r="D47" s="48">
        <v>1405</v>
      </c>
      <c r="E47" s="276">
        <v>0</v>
      </c>
      <c r="F47" s="276">
        <v>0</v>
      </c>
      <c r="G47" s="562">
        <f t="shared" si="0"/>
        <v>0</v>
      </c>
      <c r="H47" s="276">
        <v>0</v>
      </c>
      <c r="I47" s="276">
        <v>0</v>
      </c>
      <c r="J47" s="562">
        <f t="shared" si="1"/>
        <v>0</v>
      </c>
      <c r="K47" s="20"/>
      <c r="L47" s="2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</row>
    <row r="48" spans="1:41" s="12" customFormat="1" ht="22.35" customHeight="1" x14ac:dyDescent="0.3">
      <c r="A48" s="988" t="s">
        <v>131</v>
      </c>
      <c r="B48" s="988"/>
      <c r="C48" s="988"/>
      <c r="D48" s="364">
        <v>1410</v>
      </c>
      <c r="E48" s="276">
        <v>2707.3</v>
      </c>
      <c r="F48" s="276">
        <v>3438.8</v>
      </c>
      <c r="G48" s="562">
        <f t="shared" si="0"/>
        <v>6146.1</v>
      </c>
      <c r="H48" s="276">
        <f>2634.2-85.8</f>
        <v>2548.3999999999996</v>
      </c>
      <c r="I48" s="276">
        <f>3438.8</f>
        <v>3438.8</v>
      </c>
      <c r="J48" s="562">
        <f t="shared" si="1"/>
        <v>5987.2</v>
      </c>
      <c r="K48" s="331"/>
      <c r="L48" s="331"/>
      <c r="M48" s="284"/>
      <c r="N48" s="284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</row>
    <row r="49" spans="1:41" s="12" customFormat="1" ht="22.35" customHeight="1" x14ac:dyDescent="0.3">
      <c r="A49" s="988" t="s">
        <v>132</v>
      </c>
      <c r="B49" s="988"/>
      <c r="C49" s="988"/>
      <c r="D49" s="364">
        <v>1415</v>
      </c>
      <c r="E49" s="276">
        <v>0</v>
      </c>
      <c r="F49" s="276">
        <v>0</v>
      </c>
      <c r="G49" s="562">
        <f t="shared" si="0"/>
        <v>0</v>
      </c>
      <c r="H49" s="276">
        <v>0</v>
      </c>
      <c r="I49" s="276">
        <v>0</v>
      </c>
      <c r="J49" s="562">
        <f t="shared" si="1"/>
        <v>0</v>
      </c>
      <c r="K49" s="20"/>
      <c r="L49" s="2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</row>
    <row r="50" spans="1:41" s="12" customFormat="1" ht="22.35" customHeight="1" x14ac:dyDescent="0.3">
      <c r="A50" s="994" t="s">
        <v>133</v>
      </c>
      <c r="B50" s="994"/>
      <c r="C50" s="994"/>
      <c r="D50" s="364">
        <v>1420</v>
      </c>
      <c r="E50" s="276">
        <v>441.3</v>
      </c>
      <c r="F50" s="276">
        <v>0</v>
      </c>
      <c r="G50" s="562">
        <f t="shared" si="0"/>
        <v>441.3</v>
      </c>
      <c r="H50" s="276">
        <f>201.7+158.9</f>
        <v>360.6</v>
      </c>
      <c r="I50" s="276">
        <v>0</v>
      </c>
      <c r="J50" s="562">
        <f t="shared" si="1"/>
        <v>360.6</v>
      </c>
      <c r="K50" s="20"/>
      <c r="L50" s="20"/>
      <c r="M50" s="180"/>
      <c r="N50" s="180"/>
      <c r="O50" s="215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</row>
    <row r="51" spans="1:41" s="12" customFormat="1" ht="22.35" customHeight="1" x14ac:dyDescent="0.3">
      <c r="A51" s="987" t="s">
        <v>134</v>
      </c>
      <c r="B51" s="987"/>
      <c r="C51" s="987"/>
      <c r="D51" s="48">
        <v>1425</v>
      </c>
      <c r="E51" s="276">
        <v>0</v>
      </c>
      <c r="F51" s="276">
        <v>0</v>
      </c>
      <c r="G51" s="562">
        <f t="shared" si="0"/>
        <v>0</v>
      </c>
      <c r="H51" s="276">
        <v>0</v>
      </c>
      <c r="I51" s="276">
        <v>0</v>
      </c>
      <c r="J51" s="562">
        <f t="shared" si="1"/>
        <v>0</v>
      </c>
      <c r="K51" s="20"/>
      <c r="L51" s="2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</row>
    <row r="52" spans="1:41" s="12" customFormat="1" ht="22.35" customHeight="1" x14ac:dyDescent="0.3">
      <c r="A52" s="987" t="s">
        <v>135</v>
      </c>
      <c r="B52" s="987"/>
      <c r="C52" s="987"/>
      <c r="D52" s="48">
        <v>1430</v>
      </c>
      <c r="E52" s="276">
        <v>0</v>
      </c>
      <c r="F52" s="276">
        <v>0</v>
      </c>
      <c r="G52" s="562">
        <f t="shared" si="0"/>
        <v>0</v>
      </c>
      <c r="H52" s="276">
        <v>0</v>
      </c>
      <c r="I52" s="276">
        <v>0</v>
      </c>
      <c r="J52" s="562">
        <f t="shared" si="1"/>
        <v>0</v>
      </c>
      <c r="K52" s="20"/>
      <c r="L52" s="2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</row>
    <row r="53" spans="1:41" s="12" customFormat="1" ht="22.35" customHeight="1" x14ac:dyDescent="0.35">
      <c r="A53" s="993" t="s">
        <v>136</v>
      </c>
      <c r="B53" s="993"/>
      <c r="C53" s="993"/>
      <c r="D53" s="52">
        <v>1495</v>
      </c>
      <c r="E53" s="277">
        <f>SUM(E46,E47,E48,E49,E50,E51,E52)</f>
        <v>6588.4000000000005</v>
      </c>
      <c r="F53" s="277">
        <f>SUM(F46,F47,F48,F49,F50,F51,F52)</f>
        <v>0</v>
      </c>
      <c r="G53" s="563">
        <f t="shared" si="0"/>
        <v>6588.4000000000005</v>
      </c>
      <c r="H53" s="277">
        <f>SUM(H46,H47,H48,H49,H50,H51,H52)</f>
        <v>6348.8</v>
      </c>
      <c r="I53" s="277">
        <f>SUM(I46,I47,I48,I49,I50,I51,I52)</f>
        <v>0</v>
      </c>
      <c r="J53" s="563">
        <f t="shared" si="1"/>
        <v>6348.8</v>
      </c>
      <c r="K53" s="20"/>
      <c r="L53" s="2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</row>
    <row r="54" spans="1:41" s="12" customFormat="1" ht="19.5" x14ac:dyDescent="0.35">
      <c r="A54" s="990" t="s">
        <v>351</v>
      </c>
      <c r="B54" s="990"/>
      <c r="C54" s="990"/>
      <c r="D54" s="51"/>
      <c r="E54" s="280"/>
      <c r="F54" s="556"/>
      <c r="G54" s="565">
        <f t="shared" si="0"/>
        <v>0</v>
      </c>
      <c r="H54" s="280"/>
      <c r="I54" s="556"/>
      <c r="J54" s="565">
        <f t="shared" si="1"/>
        <v>0</v>
      </c>
      <c r="K54" s="20"/>
      <c r="L54" s="2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</row>
    <row r="55" spans="1:41" s="12" customFormat="1" ht="22.35" customHeight="1" x14ac:dyDescent="0.3">
      <c r="A55" s="987" t="s">
        <v>137</v>
      </c>
      <c r="B55" s="987"/>
      <c r="C55" s="987"/>
      <c r="D55" s="48">
        <v>1500</v>
      </c>
      <c r="E55" s="276">
        <v>0</v>
      </c>
      <c r="F55" s="276">
        <v>0</v>
      </c>
      <c r="G55" s="562">
        <f t="shared" si="0"/>
        <v>0</v>
      </c>
      <c r="H55" s="276">
        <v>0</v>
      </c>
      <c r="I55" s="276">
        <v>0</v>
      </c>
      <c r="J55" s="562">
        <f t="shared" si="1"/>
        <v>0</v>
      </c>
      <c r="K55" s="20"/>
      <c r="L55" s="2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</row>
    <row r="56" spans="1:41" s="12" customFormat="1" ht="22.35" customHeight="1" x14ac:dyDescent="0.3">
      <c r="A56" s="987" t="s">
        <v>138</v>
      </c>
      <c r="B56" s="987"/>
      <c r="C56" s="987"/>
      <c r="D56" s="48">
        <v>1510</v>
      </c>
      <c r="E56" s="276">
        <v>0</v>
      </c>
      <c r="F56" s="276">
        <v>0</v>
      </c>
      <c r="G56" s="562">
        <f t="shared" si="0"/>
        <v>0</v>
      </c>
      <c r="H56" s="276">
        <v>0</v>
      </c>
      <c r="I56" s="276">
        <v>0</v>
      </c>
      <c r="J56" s="562">
        <f t="shared" si="1"/>
        <v>0</v>
      </c>
      <c r="K56" s="20"/>
      <c r="L56" s="2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</row>
    <row r="57" spans="1:41" s="12" customFormat="1" ht="22.35" customHeight="1" x14ac:dyDescent="0.3">
      <c r="A57" s="987" t="s">
        <v>139</v>
      </c>
      <c r="B57" s="987"/>
      <c r="C57" s="987"/>
      <c r="D57" s="48">
        <v>1515</v>
      </c>
      <c r="E57" s="276">
        <v>0</v>
      </c>
      <c r="F57" s="276">
        <v>0</v>
      </c>
      <c r="G57" s="562">
        <f t="shared" si="0"/>
        <v>0</v>
      </c>
      <c r="H57" s="276">
        <v>0</v>
      </c>
      <c r="I57" s="276">
        <v>0</v>
      </c>
      <c r="J57" s="562">
        <f t="shared" si="1"/>
        <v>0</v>
      </c>
      <c r="K57" s="20"/>
      <c r="L57" s="2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</row>
    <row r="58" spans="1:41" s="12" customFormat="1" ht="22.35" customHeight="1" x14ac:dyDescent="0.3">
      <c r="A58" s="987" t="s">
        <v>140</v>
      </c>
      <c r="B58" s="987"/>
      <c r="C58" s="987"/>
      <c r="D58" s="48">
        <v>1520</v>
      </c>
      <c r="E58" s="276">
        <v>0</v>
      </c>
      <c r="F58" s="276">
        <v>0</v>
      </c>
      <c r="G58" s="562">
        <f t="shared" si="0"/>
        <v>0</v>
      </c>
      <c r="H58" s="276">
        <v>0</v>
      </c>
      <c r="I58" s="276">
        <v>0</v>
      </c>
      <c r="J58" s="562">
        <f t="shared" si="1"/>
        <v>0</v>
      </c>
      <c r="K58" s="20"/>
      <c r="L58" s="2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</row>
    <row r="59" spans="1:41" s="12" customFormat="1" ht="22.35" customHeight="1" x14ac:dyDescent="0.3">
      <c r="A59" s="992" t="s">
        <v>141</v>
      </c>
      <c r="B59" s="992"/>
      <c r="C59" s="992"/>
      <c r="D59" s="48">
        <v>1525</v>
      </c>
      <c r="E59" s="276">
        <v>0</v>
      </c>
      <c r="F59" s="276">
        <v>175.2</v>
      </c>
      <c r="G59" s="562">
        <f t="shared" si="0"/>
        <v>175.2</v>
      </c>
      <c r="H59" s="276">
        <v>0</v>
      </c>
      <c r="I59" s="276">
        <f>226.3-63.8</f>
        <v>162.5</v>
      </c>
      <c r="J59" s="562">
        <f t="shared" si="1"/>
        <v>162.5</v>
      </c>
      <c r="K59" s="20"/>
      <c r="L59" s="2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</row>
    <row r="60" spans="1:41" s="12" customFormat="1" ht="22.35" customHeight="1" x14ac:dyDescent="0.35">
      <c r="A60" s="993" t="s">
        <v>142</v>
      </c>
      <c r="B60" s="993"/>
      <c r="C60" s="993"/>
      <c r="D60" s="52">
        <v>1595</v>
      </c>
      <c r="E60" s="277">
        <f>SUM(E55,E56,E57,E58,E59)</f>
        <v>0</v>
      </c>
      <c r="F60" s="277">
        <f>SUM(F55,F56,F57,F58,F59)</f>
        <v>175.2</v>
      </c>
      <c r="G60" s="563">
        <f t="shared" si="0"/>
        <v>175.2</v>
      </c>
      <c r="H60" s="277">
        <f>SUM(H55,H56,H57,H58,H59)</f>
        <v>0</v>
      </c>
      <c r="I60" s="277">
        <f>SUM(I55,I56,I57,I58,I59)</f>
        <v>162.5</v>
      </c>
      <c r="J60" s="563">
        <f t="shared" si="1"/>
        <v>162.5</v>
      </c>
      <c r="K60" s="20"/>
      <c r="L60" s="2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</row>
    <row r="61" spans="1:41" s="12" customFormat="1" ht="27" customHeight="1" x14ac:dyDescent="0.35">
      <c r="A61" s="990" t="s">
        <v>352</v>
      </c>
      <c r="B61" s="990"/>
      <c r="C61" s="990"/>
      <c r="D61" s="51"/>
      <c r="E61" s="280"/>
      <c r="F61" s="556"/>
      <c r="G61" s="565">
        <f t="shared" si="0"/>
        <v>0</v>
      </c>
      <c r="H61" s="280"/>
      <c r="I61" s="556"/>
      <c r="J61" s="565">
        <f t="shared" si="1"/>
        <v>0</v>
      </c>
      <c r="K61" s="20"/>
      <c r="L61" s="2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</row>
    <row r="62" spans="1:41" s="12" customFormat="1" ht="22.35" customHeight="1" x14ac:dyDescent="0.3">
      <c r="A62" s="987" t="s">
        <v>143</v>
      </c>
      <c r="B62" s="987"/>
      <c r="C62" s="987"/>
      <c r="D62" s="48">
        <v>1600</v>
      </c>
      <c r="E62" s="276">
        <v>0</v>
      </c>
      <c r="F62" s="276">
        <v>0</v>
      </c>
      <c r="G62" s="562">
        <f t="shared" si="0"/>
        <v>0</v>
      </c>
      <c r="H62" s="276">
        <v>0</v>
      </c>
      <c r="I62" s="276">
        <v>0</v>
      </c>
      <c r="J62" s="562">
        <f t="shared" si="1"/>
        <v>0</v>
      </c>
      <c r="K62" s="20"/>
      <c r="L62" s="2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</row>
    <row r="63" spans="1:41" s="12" customFormat="1" ht="22.35" customHeight="1" x14ac:dyDescent="0.3">
      <c r="A63" s="987" t="s">
        <v>353</v>
      </c>
      <c r="B63" s="987"/>
      <c r="C63" s="987"/>
      <c r="D63" s="48"/>
      <c r="E63" s="276" t="s">
        <v>443</v>
      </c>
      <c r="F63" s="276" t="s">
        <v>443</v>
      </c>
      <c r="G63" s="562"/>
      <c r="H63" s="276" t="s">
        <v>443</v>
      </c>
      <c r="I63" s="276" t="s">
        <v>443</v>
      </c>
      <c r="J63" s="562"/>
      <c r="K63" s="20"/>
      <c r="L63" s="2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</row>
    <row r="64" spans="1:41" s="12" customFormat="1" ht="22.35" customHeight="1" x14ac:dyDescent="0.3">
      <c r="A64" s="987" t="s">
        <v>144</v>
      </c>
      <c r="B64" s="987"/>
      <c r="C64" s="987"/>
      <c r="D64" s="48">
        <v>1610</v>
      </c>
      <c r="E64" s="276">
        <v>0</v>
      </c>
      <c r="F64" s="276">
        <v>0</v>
      </c>
      <c r="G64" s="562">
        <f t="shared" si="0"/>
        <v>0</v>
      </c>
      <c r="H64" s="276">
        <v>0</v>
      </c>
      <c r="I64" s="276">
        <v>0</v>
      </c>
      <c r="J64" s="562">
        <f t="shared" si="1"/>
        <v>0</v>
      </c>
      <c r="K64" s="20"/>
      <c r="L64" s="2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</row>
    <row r="65" spans="1:41" s="12" customFormat="1" ht="22.35" customHeight="1" x14ac:dyDescent="0.3">
      <c r="A65" s="987" t="s">
        <v>152</v>
      </c>
      <c r="B65" s="987"/>
      <c r="C65" s="987"/>
      <c r="D65" s="48">
        <v>1615</v>
      </c>
      <c r="E65" s="276">
        <v>0</v>
      </c>
      <c r="F65" s="276">
        <v>0</v>
      </c>
      <c r="G65" s="562">
        <f>E65+F65</f>
        <v>0</v>
      </c>
      <c r="H65" s="276">
        <v>34.9</v>
      </c>
      <c r="I65" s="276">
        <v>0</v>
      </c>
      <c r="J65" s="562">
        <f t="shared" si="1"/>
        <v>34.9</v>
      </c>
      <c r="K65" s="20"/>
      <c r="L65" s="2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</row>
    <row r="66" spans="1:41" s="12" customFormat="1" ht="22.35" customHeight="1" x14ac:dyDescent="0.3">
      <c r="A66" s="987" t="s">
        <v>145</v>
      </c>
      <c r="B66" s="987"/>
      <c r="C66" s="987"/>
      <c r="D66" s="48">
        <v>1620</v>
      </c>
      <c r="E66" s="276">
        <v>0</v>
      </c>
      <c r="F66" s="276">
        <v>0</v>
      </c>
      <c r="G66" s="562">
        <f t="shared" si="0"/>
        <v>0</v>
      </c>
      <c r="H66" s="276">
        <v>8.8000000000000007</v>
      </c>
      <c r="I66" s="276">
        <v>0</v>
      </c>
      <c r="J66" s="562">
        <f t="shared" si="1"/>
        <v>8.8000000000000007</v>
      </c>
      <c r="K66" s="20"/>
      <c r="L66" s="2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</row>
    <row r="67" spans="1:41" s="12" customFormat="1" ht="22.35" customHeight="1" x14ac:dyDescent="0.3">
      <c r="A67" s="986" t="s">
        <v>121</v>
      </c>
      <c r="B67" s="986"/>
      <c r="C67" s="986"/>
      <c r="D67" s="48">
        <v>1621</v>
      </c>
      <c r="E67" s="276">
        <v>0</v>
      </c>
      <c r="F67" s="276">
        <v>0</v>
      </c>
      <c r="G67" s="562">
        <f t="shared" si="0"/>
        <v>0</v>
      </c>
      <c r="H67" s="276">
        <v>0</v>
      </c>
      <c r="I67" s="276">
        <v>0</v>
      </c>
      <c r="J67" s="562">
        <f t="shared" si="1"/>
        <v>0</v>
      </c>
      <c r="K67" s="20"/>
      <c r="L67" s="2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</row>
    <row r="68" spans="1:41" s="12" customFormat="1" ht="22.35" customHeight="1" x14ac:dyDescent="0.3">
      <c r="A68" s="987" t="s">
        <v>146</v>
      </c>
      <c r="B68" s="987"/>
      <c r="C68" s="987"/>
      <c r="D68" s="48">
        <v>1625</v>
      </c>
      <c r="E68" s="276">
        <v>0</v>
      </c>
      <c r="F68" s="276">
        <v>0</v>
      </c>
      <c r="G68" s="562">
        <f t="shared" si="0"/>
        <v>0</v>
      </c>
      <c r="H68" s="276">
        <f>2.8</f>
        <v>2.8</v>
      </c>
      <c r="I68" s="276">
        <v>0</v>
      </c>
      <c r="J68" s="562">
        <f t="shared" si="1"/>
        <v>2.8</v>
      </c>
      <c r="K68" s="20"/>
      <c r="L68" s="2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</row>
    <row r="69" spans="1:41" s="12" customFormat="1" ht="22.35" customHeight="1" x14ac:dyDescent="0.3">
      <c r="A69" s="988" t="s">
        <v>155</v>
      </c>
      <c r="B69" s="988"/>
      <c r="C69" s="988"/>
      <c r="D69" s="364">
        <v>1630</v>
      </c>
      <c r="E69" s="365">
        <v>0</v>
      </c>
      <c r="F69" s="365">
        <v>0</v>
      </c>
      <c r="G69" s="562">
        <f t="shared" si="0"/>
        <v>0</v>
      </c>
      <c r="H69" s="365">
        <f>230.9+4.2+0.2+48.4+4.3+72.6</f>
        <v>360.6</v>
      </c>
      <c r="I69" s="365">
        <v>0</v>
      </c>
      <c r="J69" s="562">
        <f t="shared" si="1"/>
        <v>360.6</v>
      </c>
      <c r="K69" s="20"/>
      <c r="L69" s="2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</row>
    <row r="70" spans="1:41" s="12" customFormat="1" ht="22.35" customHeight="1" x14ac:dyDescent="0.3">
      <c r="A70" s="989" t="s">
        <v>254</v>
      </c>
      <c r="B70" s="989"/>
      <c r="C70" s="989"/>
      <c r="D70" s="364"/>
      <c r="E70" s="365">
        <v>0</v>
      </c>
      <c r="F70" s="365">
        <v>0</v>
      </c>
      <c r="G70" s="562">
        <f t="shared" si="0"/>
        <v>0</v>
      </c>
      <c r="H70" s="365">
        <v>0</v>
      </c>
      <c r="I70" s="365">
        <v>0</v>
      </c>
      <c r="J70" s="562">
        <f t="shared" si="1"/>
        <v>0</v>
      </c>
      <c r="K70" s="20"/>
      <c r="L70" s="2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</row>
    <row r="71" spans="1:41" s="12" customFormat="1" ht="22.35" customHeight="1" x14ac:dyDescent="0.3">
      <c r="A71" s="989" t="s">
        <v>153</v>
      </c>
      <c r="B71" s="989"/>
      <c r="C71" s="989"/>
      <c r="D71" s="364"/>
      <c r="E71" s="365">
        <v>0</v>
      </c>
      <c r="F71" s="365">
        <v>0</v>
      </c>
      <c r="G71" s="562">
        <f t="shared" si="0"/>
        <v>0</v>
      </c>
      <c r="H71" s="365">
        <v>0</v>
      </c>
      <c r="I71" s="365">
        <v>0</v>
      </c>
      <c r="J71" s="562">
        <f t="shared" si="1"/>
        <v>0</v>
      </c>
      <c r="K71" s="20"/>
      <c r="L71" s="2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</row>
    <row r="72" spans="1:41" s="12" customFormat="1" ht="22.35" customHeight="1" x14ac:dyDescent="0.3">
      <c r="A72" s="989" t="s">
        <v>154</v>
      </c>
      <c r="B72" s="989"/>
      <c r="C72" s="989"/>
      <c r="D72" s="364"/>
      <c r="E72" s="365">
        <v>0</v>
      </c>
      <c r="F72" s="365">
        <v>0</v>
      </c>
      <c r="G72" s="562">
        <f t="shared" si="0"/>
        <v>0</v>
      </c>
      <c r="H72" s="365">
        <v>0</v>
      </c>
      <c r="I72" s="365">
        <v>0</v>
      </c>
      <c r="J72" s="562">
        <f t="shared" si="1"/>
        <v>0</v>
      </c>
      <c r="K72" s="20"/>
      <c r="L72" s="2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</row>
    <row r="73" spans="1:41" s="12" customFormat="1" ht="22.35" customHeight="1" x14ac:dyDescent="0.3">
      <c r="A73" s="988" t="s">
        <v>147</v>
      </c>
      <c r="B73" s="988"/>
      <c r="C73" s="988"/>
      <c r="D73" s="364">
        <v>1660</v>
      </c>
      <c r="E73" s="365">
        <v>0</v>
      </c>
      <c r="F73" s="365">
        <v>0</v>
      </c>
      <c r="G73" s="562">
        <f t="shared" si="0"/>
        <v>0</v>
      </c>
      <c r="H73" s="365">
        <v>0</v>
      </c>
      <c r="I73" s="365">
        <v>0</v>
      </c>
      <c r="J73" s="562">
        <f t="shared" si="1"/>
        <v>0</v>
      </c>
      <c r="K73" s="20"/>
      <c r="L73" s="2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</row>
    <row r="74" spans="1:41" s="12" customFormat="1" ht="22.35" customHeight="1" x14ac:dyDescent="0.3">
      <c r="A74" s="988" t="s">
        <v>56</v>
      </c>
      <c r="B74" s="988"/>
      <c r="C74" s="988"/>
      <c r="D74" s="364">
        <v>1665</v>
      </c>
      <c r="E74" s="365">
        <v>0</v>
      </c>
      <c r="F74" s="365">
        <v>0</v>
      </c>
      <c r="G74" s="562">
        <f t="shared" ref="G74:G79" si="3">E74+F74</f>
        <v>0</v>
      </c>
      <c r="H74" s="365">
        <v>0</v>
      </c>
      <c r="I74" s="365">
        <v>0</v>
      </c>
      <c r="J74" s="562">
        <f t="shared" si="1"/>
        <v>0</v>
      </c>
      <c r="K74" s="20"/>
      <c r="L74" s="2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</row>
    <row r="75" spans="1:41" s="12" customFormat="1" ht="22.35" customHeight="1" x14ac:dyDescent="0.3">
      <c r="A75" s="988" t="s">
        <v>148</v>
      </c>
      <c r="B75" s="988"/>
      <c r="C75" s="988"/>
      <c r="D75" s="364">
        <v>1690</v>
      </c>
      <c r="E75" s="365">
        <v>0</v>
      </c>
      <c r="F75" s="365">
        <v>0</v>
      </c>
      <c r="G75" s="562">
        <f t="shared" si="3"/>
        <v>0</v>
      </c>
      <c r="H75" s="365">
        <v>0</v>
      </c>
      <c r="I75" s="365">
        <v>0</v>
      </c>
      <c r="J75" s="562">
        <f>H75+I75</f>
        <v>0</v>
      </c>
      <c r="K75" s="20"/>
      <c r="L75" s="2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</row>
    <row r="76" spans="1:41" s="12" customFormat="1" ht="22.35" customHeight="1" x14ac:dyDescent="0.35">
      <c r="A76" s="991" t="s">
        <v>149</v>
      </c>
      <c r="B76" s="991"/>
      <c r="C76" s="991"/>
      <c r="D76" s="364">
        <v>1695</v>
      </c>
      <c r="E76" s="366">
        <f>SUM(E62,E64,E65,E66,E68,E69,E73,E74,E75,E78)</f>
        <v>0</v>
      </c>
      <c r="F76" s="366">
        <f>SUM(F62,F64,F65,F66,F68,F69,F73,F74,F75,F78)</f>
        <v>0</v>
      </c>
      <c r="G76" s="563">
        <f t="shared" si="3"/>
        <v>0</v>
      </c>
      <c r="H76" s="366">
        <f>SUM(H62,H64,H65,H66,H68,H69,H73,H74,H75,H78)</f>
        <v>407.1</v>
      </c>
      <c r="I76" s="366">
        <f>SUM(I62,I64,I65,I66,I68,I69,I73,I74,I75,I78)</f>
        <v>0</v>
      </c>
      <c r="J76" s="563">
        <f>H76+I76</f>
        <v>407.1</v>
      </c>
      <c r="K76" s="20"/>
      <c r="L76" s="20"/>
      <c r="M76" s="180"/>
      <c r="N76" s="180"/>
      <c r="O76" s="466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</row>
    <row r="77" spans="1:41" s="12" customFormat="1" ht="48" customHeight="1" x14ac:dyDescent="0.3">
      <c r="A77" s="990" t="s">
        <v>428</v>
      </c>
      <c r="B77" s="990"/>
      <c r="C77" s="990"/>
      <c r="D77" s="51">
        <v>1700</v>
      </c>
      <c r="E77" s="279">
        <v>0</v>
      </c>
      <c r="F77" s="279">
        <v>0</v>
      </c>
      <c r="G77" s="565">
        <f t="shared" si="3"/>
        <v>0</v>
      </c>
      <c r="H77" s="279">
        <v>0</v>
      </c>
      <c r="I77" s="279">
        <v>0</v>
      </c>
      <c r="J77" s="565">
        <f>H77+I77</f>
        <v>0</v>
      </c>
      <c r="K77" s="20"/>
      <c r="L77" s="2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</row>
    <row r="78" spans="1:41" s="12" customFormat="1" ht="22.35" customHeight="1" x14ac:dyDescent="0.3">
      <c r="A78" s="985" t="s">
        <v>536</v>
      </c>
      <c r="B78" s="985"/>
      <c r="C78" s="985"/>
      <c r="D78" s="48"/>
      <c r="E78" s="276">
        <v>0</v>
      </c>
      <c r="F78" s="276">
        <v>0</v>
      </c>
      <c r="G78" s="562">
        <f t="shared" si="3"/>
        <v>0</v>
      </c>
      <c r="H78" s="276">
        <v>0</v>
      </c>
      <c r="I78" s="276">
        <v>0</v>
      </c>
      <c r="J78" s="562">
        <f>H78+I78</f>
        <v>0</v>
      </c>
      <c r="K78" s="20"/>
      <c r="L78" s="2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</row>
    <row r="79" spans="1:41" s="12" customFormat="1" ht="22.35" customHeight="1" x14ac:dyDescent="0.35">
      <c r="A79" s="984" t="s">
        <v>128</v>
      </c>
      <c r="B79" s="984"/>
      <c r="C79" s="984"/>
      <c r="D79" s="88">
        <v>1900</v>
      </c>
      <c r="E79" s="548">
        <f>SUM(E53,E60,E76,E77)</f>
        <v>6588.4000000000005</v>
      </c>
      <c r="F79" s="557">
        <f>SUM(F53,F60,F76,F77)</f>
        <v>175.2</v>
      </c>
      <c r="G79" s="567">
        <f t="shared" si="3"/>
        <v>6763.6</v>
      </c>
      <c r="H79" s="548">
        <f>SUM(H53,H60,H76,H77)</f>
        <v>6755.9000000000005</v>
      </c>
      <c r="I79" s="557">
        <f>SUM(I53,I60,I76,I77)</f>
        <v>162.5</v>
      </c>
      <c r="J79" s="567">
        <f>H79+I79</f>
        <v>6918.4000000000005</v>
      </c>
      <c r="K79" s="20"/>
      <c r="L79" s="20"/>
      <c r="M79" s="180"/>
      <c r="N79" s="180"/>
      <c r="O79" s="215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</row>
    <row r="80" spans="1:41" ht="20.25" x14ac:dyDescent="0.25">
      <c r="A80" s="11"/>
      <c r="B80" s="8"/>
      <c r="C80" s="8"/>
      <c r="D80" s="8"/>
      <c r="E80" s="8"/>
      <c r="F80" s="558"/>
      <c r="G80" s="8"/>
      <c r="H80" s="10"/>
    </row>
    <row r="81" spans="1:41" s="16" customFormat="1" ht="49.35" customHeight="1" x14ac:dyDescent="0.25">
      <c r="A81" s="859" t="s">
        <v>249</v>
      </c>
      <c r="B81" s="859"/>
      <c r="C81" s="859"/>
      <c r="D81" s="983" t="s">
        <v>732</v>
      </c>
      <c r="E81" s="983"/>
      <c r="F81" s="983"/>
      <c r="G81" s="983"/>
      <c r="H81" s="983"/>
      <c r="I81" s="76"/>
      <c r="J81" s="76"/>
      <c r="K81" s="76"/>
      <c r="L81" s="7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</row>
    <row r="82" spans="1:41" s="16" customFormat="1" ht="42.6" customHeight="1" x14ac:dyDescent="0.25">
      <c r="A82" s="859" t="s">
        <v>248</v>
      </c>
      <c r="B82" s="859"/>
      <c r="C82" s="859"/>
      <c r="D82" s="982">
        <v>380504013373</v>
      </c>
      <c r="E82" s="982"/>
      <c r="F82" s="982"/>
      <c r="G82" s="982"/>
      <c r="H82" s="982"/>
      <c r="I82" s="76"/>
      <c r="J82" s="76"/>
      <c r="K82" s="76"/>
      <c r="L82" s="7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</row>
    <row r="83" spans="1:41" s="16" customFormat="1" ht="30.6" customHeight="1" x14ac:dyDescent="0.25">
      <c r="A83" s="859" t="s">
        <v>250</v>
      </c>
      <c r="B83" s="859"/>
      <c r="C83" s="859"/>
      <c r="D83" s="983" t="s">
        <v>733</v>
      </c>
      <c r="E83" s="983"/>
      <c r="F83" s="983"/>
      <c r="G83" s="983"/>
      <c r="H83" s="983"/>
      <c r="I83" s="76"/>
      <c r="J83" s="76"/>
      <c r="K83" s="76"/>
      <c r="L83" s="7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</row>
    <row r="84" spans="1:41" s="16" customFormat="1" ht="24" customHeight="1" x14ac:dyDescent="0.25">
      <c r="A84" s="859" t="s">
        <v>98</v>
      </c>
      <c r="B84" s="859"/>
      <c r="C84" s="859"/>
      <c r="D84" s="982">
        <v>380669066051</v>
      </c>
      <c r="E84" s="982"/>
      <c r="F84" s="982"/>
      <c r="G84" s="982"/>
      <c r="H84" s="982"/>
      <c r="I84" s="76"/>
      <c r="J84" s="76"/>
      <c r="K84" s="76"/>
      <c r="L84" s="7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</row>
    <row r="85" spans="1:41" s="16" customFormat="1" ht="25.35" customHeight="1" x14ac:dyDescent="0.25">
      <c r="A85" s="859" t="s">
        <v>251</v>
      </c>
      <c r="B85" s="859"/>
      <c r="C85" s="859"/>
      <c r="D85" s="983" t="s">
        <v>734</v>
      </c>
      <c r="E85" s="983"/>
      <c r="F85" s="983"/>
      <c r="G85" s="983"/>
      <c r="H85" s="983"/>
      <c r="I85" s="76"/>
      <c r="J85" s="76"/>
      <c r="K85" s="76"/>
      <c r="L85" s="7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</row>
    <row r="86" spans="1:41" s="186" customFormat="1" x14ac:dyDescent="0.25">
      <c r="A86" s="183"/>
      <c r="B86" s="187"/>
      <c r="C86" s="187"/>
      <c r="D86" s="187"/>
      <c r="E86" s="183"/>
      <c r="F86" s="559"/>
      <c r="G86" s="183"/>
      <c r="H86" s="183"/>
      <c r="I86" s="184"/>
      <c r="J86" s="184"/>
      <c r="K86" s="184"/>
      <c r="L86" s="184"/>
    </row>
    <row r="87" spans="1:41" s="186" customFormat="1" x14ac:dyDescent="0.25">
      <c r="A87" s="183"/>
      <c r="B87" s="187"/>
      <c r="C87" s="187"/>
      <c r="D87" s="187"/>
      <c r="E87" s="183"/>
      <c r="F87" s="559"/>
      <c r="G87" s="183"/>
      <c r="H87" s="183"/>
      <c r="I87" s="184"/>
      <c r="J87" s="184"/>
      <c r="K87" s="184"/>
      <c r="L87" s="184"/>
    </row>
    <row r="88" spans="1:41" s="186" customFormat="1" x14ac:dyDescent="0.25">
      <c r="A88" s="183"/>
      <c r="B88" s="187"/>
      <c r="C88" s="187"/>
      <c r="D88" s="187"/>
      <c r="E88" s="183"/>
      <c r="F88" s="559"/>
      <c r="G88" s="183"/>
      <c r="H88" s="183"/>
      <c r="I88" s="184"/>
      <c r="J88" s="184"/>
      <c r="K88" s="184"/>
      <c r="L88" s="184"/>
    </row>
    <row r="89" spans="1:41" s="186" customFormat="1" x14ac:dyDescent="0.25">
      <c r="A89" s="183"/>
      <c r="B89" s="187"/>
      <c r="C89" s="187"/>
      <c r="D89" s="187"/>
      <c r="E89" s="183"/>
      <c r="F89" s="559"/>
      <c r="G89" s="183"/>
      <c r="H89" s="183"/>
      <c r="I89" s="184"/>
      <c r="J89" s="184"/>
      <c r="K89" s="184"/>
      <c r="L89" s="184"/>
    </row>
    <row r="90" spans="1:41" s="186" customFormat="1" x14ac:dyDescent="0.25">
      <c r="A90" s="183"/>
      <c r="B90" s="187"/>
      <c r="C90" s="187"/>
      <c r="D90" s="187"/>
      <c r="E90" s="183"/>
      <c r="F90" s="559"/>
      <c r="G90" s="183"/>
      <c r="H90" s="183"/>
      <c r="I90" s="184"/>
      <c r="J90" s="184"/>
      <c r="K90" s="184"/>
      <c r="L90" s="184"/>
    </row>
    <row r="91" spans="1:41" s="186" customFormat="1" x14ac:dyDescent="0.25">
      <c r="A91" s="183"/>
      <c r="B91" s="187"/>
      <c r="C91" s="187"/>
      <c r="D91" s="187"/>
      <c r="E91" s="183"/>
      <c r="F91" s="559"/>
      <c r="G91" s="183"/>
      <c r="H91" s="183"/>
      <c r="I91" s="184"/>
      <c r="J91" s="184"/>
      <c r="K91" s="184"/>
      <c r="L91" s="184"/>
    </row>
    <row r="92" spans="1:41" s="186" customFormat="1" x14ac:dyDescent="0.25">
      <c r="A92" s="183"/>
      <c r="B92" s="187"/>
      <c r="C92" s="187"/>
      <c r="D92" s="187"/>
      <c r="E92" s="183"/>
      <c r="F92" s="559"/>
      <c r="G92" s="183"/>
      <c r="H92" s="183"/>
      <c r="I92" s="184"/>
      <c r="J92" s="184"/>
      <c r="K92" s="184"/>
      <c r="L92" s="184"/>
    </row>
    <row r="93" spans="1:41" s="186" customFormat="1" x14ac:dyDescent="0.25">
      <c r="A93" s="183"/>
      <c r="B93" s="187"/>
      <c r="C93" s="187"/>
      <c r="D93" s="187"/>
      <c r="E93" s="183"/>
      <c r="F93" s="559"/>
      <c r="G93" s="183"/>
      <c r="H93" s="183"/>
      <c r="I93" s="184"/>
      <c r="J93" s="184"/>
      <c r="K93" s="184"/>
      <c r="L93" s="184"/>
    </row>
    <row r="94" spans="1:41" s="186" customFormat="1" x14ac:dyDescent="0.25">
      <c r="A94" s="183"/>
      <c r="B94" s="187"/>
      <c r="C94" s="187"/>
      <c r="D94" s="187"/>
      <c r="E94" s="183"/>
      <c r="F94" s="559"/>
      <c r="G94" s="183"/>
      <c r="H94" s="183"/>
      <c r="I94" s="184"/>
      <c r="J94" s="184"/>
      <c r="K94" s="184"/>
      <c r="L94" s="184"/>
    </row>
    <row r="95" spans="1:41" s="183" customFormat="1" x14ac:dyDescent="0.25">
      <c r="B95" s="187"/>
      <c r="C95" s="187"/>
      <c r="D95" s="187"/>
      <c r="E95" s="188"/>
      <c r="F95" s="560"/>
      <c r="G95" s="188"/>
      <c r="H95" s="188"/>
      <c r="I95" s="184"/>
      <c r="J95" s="184"/>
      <c r="K95" s="184"/>
      <c r="L95" s="184"/>
    </row>
    <row r="96" spans="1:41" s="183" customFormat="1" x14ac:dyDescent="0.25">
      <c r="B96" s="187"/>
      <c r="C96" s="187"/>
      <c r="D96" s="187"/>
      <c r="E96" s="188"/>
      <c r="F96" s="560"/>
      <c r="G96" s="188"/>
      <c r="H96" s="188"/>
      <c r="I96" s="184"/>
      <c r="J96" s="184"/>
      <c r="K96" s="184"/>
      <c r="L96" s="184"/>
    </row>
    <row r="97" spans="2:12" s="183" customFormat="1" x14ac:dyDescent="0.25">
      <c r="B97" s="187"/>
      <c r="C97" s="187"/>
      <c r="D97" s="187"/>
      <c r="E97" s="188"/>
      <c r="F97" s="560"/>
      <c r="G97" s="188"/>
      <c r="H97" s="188"/>
      <c r="I97" s="184"/>
      <c r="J97" s="184"/>
      <c r="K97" s="184"/>
      <c r="L97" s="184"/>
    </row>
    <row r="98" spans="2:12" s="183" customFormat="1" x14ac:dyDescent="0.25">
      <c r="B98" s="187"/>
      <c r="C98" s="187"/>
      <c r="D98" s="187"/>
      <c r="E98" s="188"/>
      <c r="F98" s="560"/>
      <c r="G98" s="188"/>
      <c r="H98" s="188"/>
      <c r="I98" s="184"/>
      <c r="J98" s="184"/>
      <c r="K98" s="184"/>
      <c r="L98" s="184"/>
    </row>
    <row r="99" spans="2:12" s="183" customFormat="1" x14ac:dyDescent="0.25">
      <c r="B99" s="187"/>
      <c r="C99" s="187"/>
      <c r="D99" s="187"/>
      <c r="E99" s="188"/>
      <c r="F99" s="560"/>
      <c r="G99" s="188"/>
      <c r="H99" s="188"/>
      <c r="I99" s="184"/>
      <c r="J99" s="184"/>
      <c r="K99" s="184"/>
      <c r="L99" s="184"/>
    </row>
    <row r="100" spans="2:12" s="183" customFormat="1" x14ac:dyDescent="0.25">
      <c r="B100" s="187"/>
      <c r="C100" s="187"/>
      <c r="D100" s="187"/>
      <c r="E100" s="188"/>
      <c r="F100" s="560"/>
      <c r="G100" s="188"/>
      <c r="H100" s="188"/>
      <c r="I100" s="184"/>
      <c r="J100" s="184"/>
      <c r="K100" s="184"/>
      <c r="L100" s="184"/>
    </row>
    <row r="101" spans="2:12" s="183" customFormat="1" x14ac:dyDescent="0.25">
      <c r="B101" s="187"/>
      <c r="C101" s="187"/>
      <c r="D101" s="187"/>
      <c r="E101" s="188"/>
      <c r="F101" s="560"/>
      <c r="G101" s="188"/>
      <c r="H101" s="188"/>
      <c r="I101" s="184"/>
      <c r="J101" s="184"/>
      <c r="K101" s="184"/>
      <c r="L101" s="184"/>
    </row>
    <row r="102" spans="2:12" s="183" customFormat="1" x14ac:dyDescent="0.25">
      <c r="B102" s="187"/>
      <c r="C102" s="187"/>
      <c r="D102" s="187"/>
      <c r="E102" s="188"/>
      <c r="F102" s="560"/>
      <c r="G102" s="188"/>
      <c r="H102" s="188"/>
      <c r="I102" s="184"/>
      <c r="J102" s="184"/>
      <c r="K102" s="184"/>
      <c r="L102" s="184"/>
    </row>
    <row r="103" spans="2:12" s="183" customFormat="1" x14ac:dyDescent="0.25">
      <c r="B103" s="187"/>
      <c r="C103" s="187"/>
      <c r="D103" s="187"/>
      <c r="E103" s="188"/>
      <c r="F103" s="560"/>
      <c r="G103" s="188"/>
      <c r="H103" s="188"/>
      <c r="I103" s="184"/>
      <c r="J103" s="184"/>
      <c r="K103" s="184"/>
      <c r="L103" s="184"/>
    </row>
    <row r="104" spans="2:12" s="183" customFormat="1" x14ac:dyDescent="0.25">
      <c r="B104" s="187"/>
      <c r="C104" s="187"/>
      <c r="D104" s="187"/>
      <c r="E104" s="188"/>
      <c r="F104" s="560"/>
      <c r="G104" s="188"/>
      <c r="H104" s="188"/>
      <c r="I104" s="184"/>
      <c r="J104" s="184"/>
      <c r="K104" s="184"/>
      <c r="L104" s="184"/>
    </row>
    <row r="105" spans="2:12" s="183" customFormat="1" x14ac:dyDescent="0.25">
      <c r="B105" s="187"/>
      <c r="C105" s="187"/>
      <c r="D105" s="187"/>
      <c r="E105" s="188"/>
      <c r="F105" s="560"/>
      <c r="G105" s="188"/>
      <c r="H105" s="188"/>
      <c r="I105" s="184"/>
      <c r="J105" s="184"/>
      <c r="K105" s="184"/>
      <c r="L105" s="184"/>
    </row>
    <row r="106" spans="2:12" s="183" customFormat="1" x14ac:dyDescent="0.25">
      <c r="B106" s="187"/>
      <c r="C106" s="187"/>
      <c r="D106" s="187"/>
      <c r="E106" s="188"/>
      <c r="F106" s="560"/>
      <c r="G106" s="188"/>
      <c r="H106" s="188"/>
      <c r="I106" s="184"/>
      <c r="J106" s="184"/>
      <c r="K106" s="184"/>
      <c r="L106" s="184"/>
    </row>
    <row r="107" spans="2:12" s="183" customFormat="1" x14ac:dyDescent="0.25">
      <c r="B107" s="187"/>
      <c r="C107" s="187"/>
      <c r="D107" s="187"/>
      <c r="E107" s="188"/>
      <c r="F107" s="560"/>
      <c r="G107" s="188"/>
      <c r="H107" s="188"/>
      <c r="I107" s="184"/>
      <c r="J107" s="184"/>
      <c r="K107" s="184"/>
      <c r="L107" s="184"/>
    </row>
    <row r="108" spans="2:12" s="183" customFormat="1" x14ac:dyDescent="0.25">
      <c r="B108" s="187"/>
      <c r="C108" s="187"/>
      <c r="D108" s="187"/>
      <c r="E108" s="188"/>
      <c r="F108" s="560"/>
      <c r="G108" s="188"/>
      <c r="H108" s="188"/>
      <c r="I108" s="184"/>
      <c r="J108" s="184"/>
      <c r="K108" s="184"/>
      <c r="L108" s="184"/>
    </row>
    <row r="109" spans="2:12" s="183" customFormat="1" x14ac:dyDescent="0.25">
      <c r="B109" s="187"/>
      <c r="C109" s="187"/>
      <c r="D109" s="187"/>
      <c r="E109" s="188"/>
      <c r="F109" s="560"/>
      <c r="G109" s="188"/>
      <c r="H109" s="188"/>
      <c r="I109" s="184"/>
      <c r="J109" s="184"/>
      <c r="K109" s="184"/>
      <c r="L109" s="184"/>
    </row>
    <row r="110" spans="2:12" s="183" customFormat="1" x14ac:dyDescent="0.25">
      <c r="B110" s="187"/>
      <c r="C110" s="187"/>
      <c r="D110" s="187"/>
      <c r="E110" s="188"/>
      <c r="F110" s="560"/>
      <c r="G110" s="188"/>
      <c r="H110" s="188"/>
      <c r="I110" s="184"/>
      <c r="J110" s="184"/>
      <c r="K110" s="184"/>
      <c r="L110" s="184"/>
    </row>
    <row r="111" spans="2:12" s="183" customFormat="1" x14ac:dyDescent="0.25">
      <c r="B111" s="187"/>
      <c r="C111" s="187"/>
      <c r="D111" s="187"/>
      <c r="E111" s="188"/>
      <c r="F111" s="560"/>
      <c r="G111" s="188"/>
      <c r="H111" s="188"/>
      <c r="I111" s="184"/>
      <c r="J111" s="184"/>
      <c r="K111" s="184"/>
      <c r="L111" s="184"/>
    </row>
    <row r="112" spans="2:12" s="183" customFormat="1" x14ac:dyDescent="0.25">
      <c r="B112" s="187"/>
      <c r="C112" s="187"/>
      <c r="D112" s="187"/>
      <c r="E112" s="188"/>
      <c r="F112" s="560"/>
      <c r="G112" s="188"/>
      <c r="H112" s="188"/>
      <c r="I112" s="184"/>
      <c r="J112" s="184"/>
      <c r="K112" s="184"/>
      <c r="L112" s="184"/>
    </row>
    <row r="113" spans="2:12" s="183" customFormat="1" x14ac:dyDescent="0.25">
      <c r="B113" s="187"/>
      <c r="C113" s="187"/>
      <c r="D113" s="187"/>
      <c r="E113" s="188"/>
      <c r="F113" s="560"/>
      <c r="G113" s="188"/>
      <c r="H113" s="188"/>
      <c r="I113" s="184"/>
      <c r="J113" s="184"/>
      <c r="K113" s="184"/>
      <c r="L113" s="184"/>
    </row>
    <row r="114" spans="2:12" s="183" customFormat="1" x14ac:dyDescent="0.25">
      <c r="B114" s="187"/>
      <c r="C114" s="187"/>
      <c r="D114" s="187"/>
      <c r="E114" s="188"/>
      <c r="F114" s="560"/>
      <c r="G114" s="188"/>
      <c r="H114" s="188"/>
      <c r="I114" s="184"/>
      <c r="J114" s="184"/>
      <c r="K114" s="184"/>
      <c r="L114" s="184"/>
    </row>
    <row r="115" spans="2:12" s="183" customFormat="1" x14ac:dyDescent="0.25">
      <c r="B115" s="187"/>
      <c r="C115" s="187"/>
      <c r="D115" s="187"/>
      <c r="E115" s="188"/>
      <c r="F115" s="560"/>
      <c r="G115" s="188"/>
      <c r="H115" s="188"/>
      <c r="I115" s="184"/>
      <c r="J115" s="184"/>
      <c r="K115" s="184"/>
      <c r="L115" s="184"/>
    </row>
    <row r="116" spans="2:12" s="183" customFormat="1" x14ac:dyDescent="0.25">
      <c r="B116" s="187"/>
      <c r="C116" s="187"/>
      <c r="D116" s="187"/>
      <c r="E116" s="188"/>
      <c r="F116" s="560"/>
      <c r="G116" s="188"/>
      <c r="H116" s="188"/>
      <c r="I116" s="184"/>
      <c r="J116" s="184"/>
      <c r="K116" s="184"/>
      <c r="L116" s="184"/>
    </row>
    <row r="117" spans="2:12" s="183" customFormat="1" x14ac:dyDescent="0.25">
      <c r="B117" s="187"/>
      <c r="C117" s="187"/>
      <c r="D117" s="187"/>
      <c r="E117" s="188"/>
      <c r="F117" s="560"/>
      <c r="G117" s="188"/>
      <c r="H117" s="188"/>
      <c r="I117" s="184"/>
      <c r="J117" s="184"/>
      <c r="K117" s="184"/>
      <c r="L117" s="184"/>
    </row>
    <row r="118" spans="2:12" s="183" customFormat="1" x14ac:dyDescent="0.25">
      <c r="B118" s="187"/>
      <c r="C118" s="187"/>
      <c r="D118" s="187"/>
      <c r="E118" s="188"/>
      <c r="F118" s="560"/>
      <c r="G118" s="188"/>
      <c r="H118" s="188"/>
      <c r="I118" s="184"/>
      <c r="J118" s="184"/>
      <c r="K118" s="184"/>
      <c r="L118" s="184"/>
    </row>
    <row r="119" spans="2:12" s="183" customFormat="1" x14ac:dyDescent="0.25">
      <c r="B119" s="187"/>
      <c r="C119" s="187"/>
      <c r="D119" s="187"/>
      <c r="E119" s="188"/>
      <c r="F119" s="560"/>
      <c r="G119" s="188"/>
      <c r="H119" s="188"/>
      <c r="I119" s="184"/>
      <c r="J119" s="184"/>
      <c r="K119" s="184"/>
      <c r="L119" s="184"/>
    </row>
    <row r="120" spans="2:12" s="183" customFormat="1" x14ac:dyDescent="0.25">
      <c r="B120" s="187"/>
      <c r="C120" s="187"/>
      <c r="D120" s="187"/>
      <c r="E120" s="188"/>
      <c r="F120" s="560"/>
      <c r="G120" s="188"/>
      <c r="H120" s="188"/>
      <c r="I120" s="184"/>
      <c r="J120" s="184"/>
      <c r="K120" s="184"/>
      <c r="L120" s="184"/>
    </row>
    <row r="121" spans="2:12" s="183" customFormat="1" x14ac:dyDescent="0.25">
      <c r="B121" s="187"/>
      <c r="C121" s="187"/>
      <c r="D121" s="187"/>
      <c r="E121" s="188"/>
      <c r="F121" s="560"/>
      <c r="G121" s="188"/>
      <c r="H121" s="188"/>
      <c r="I121" s="184"/>
      <c r="J121" s="184"/>
      <c r="K121" s="184"/>
      <c r="L121" s="184"/>
    </row>
    <row r="122" spans="2:12" s="183" customFormat="1" x14ac:dyDescent="0.25">
      <c r="B122" s="187"/>
      <c r="C122" s="187"/>
      <c r="D122" s="187"/>
      <c r="E122" s="188"/>
      <c r="F122" s="560"/>
      <c r="G122" s="188"/>
      <c r="H122" s="188"/>
      <c r="I122" s="184"/>
      <c r="J122" s="184"/>
      <c r="K122" s="184"/>
      <c r="L122" s="184"/>
    </row>
    <row r="123" spans="2:12" s="183" customFormat="1" x14ac:dyDescent="0.25">
      <c r="B123" s="187"/>
      <c r="C123" s="187"/>
      <c r="D123" s="187"/>
      <c r="E123" s="188"/>
      <c r="F123" s="560"/>
      <c r="G123" s="188"/>
      <c r="H123" s="188"/>
      <c r="I123" s="184"/>
      <c r="J123" s="184"/>
      <c r="K123" s="184"/>
      <c r="L123" s="184"/>
    </row>
    <row r="124" spans="2:12" s="183" customFormat="1" x14ac:dyDescent="0.25">
      <c r="B124" s="187"/>
      <c r="C124" s="187"/>
      <c r="D124" s="187"/>
      <c r="E124" s="188"/>
      <c r="F124" s="560"/>
      <c r="G124" s="188"/>
      <c r="H124" s="188"/>
      <c r="I124" s="184"/>
      <c r="J124" s="184"/>
      <c r="K124" s="184"/>
      <c r="L124" s="184"/>
    </row>
    <row r="125" spans="2:12" s="183" customFormat="1" x14ac:dyDescent="0.25">
      <c r="B125" s="187"/>
      <c r="C125" s="187"/>
      <c r="D125" s="187"/>
      <c r="E125" s="188"/>
      <c r="F125" s="560"/>
      <c r="G125" s="188"/>
      <c r="H125" s="188"/>
      <c r="I125" s="184"/>
      <c r="J125" s="184"/>
      <c r="K125" s="184"/>
      <c r="L125" s="184"/>
    </row>
  </sheetData>
  <sheetProtection password="FB6B" sheet="1" formatCells="0" formatColumns="0" formatRows="0"/>
  <mergeCells count="88">
    <mergeCell ref="I1:J1"/>
    <mergeCell ref="I2:J2"/>
    <mergeCell ref="A3:J3"/>
    <mergeCell ref="A13:C13"/>
    <mergeCell ref="A14:C14"/>
    <mergeCell ref="A16:C16"/>
    <mergeCell ref="A17:C17"/>
    <mergeCell ref="A1:C1"/>
    <mergeCell ref="A6:C6"/>
    <mergeCell ref="A7:C7"/>
    <mergeCell ref="A8:C8"/>
    <mergeCell ref="A9:C9"/>
    <mergeCell ref="A10:C10"/>
    <mergeCell ref="A11:C11"/>
    <mergeCell ref="A12:C12"/>
    <mergeCell ref="A15:C15"/>
    <mergeCell ref="A18:C18"/>
    <mergeCell ref="A19:C19"/>
    <mergeCell ref="A20:C20"/>
    <mergeCell ref="A21:C21"/>
    <mergeCell ref="A22:C22"/>
    <mergeCell ref="A23:C23"/>
    <mergeCell ref="A24:C24"/>
    <mergeCell ref="A37:C37"/>
    <mergeCell ref="A38:C38"/>
    <mergeCell ref="A39:C39"/>
    <mergeCell ref="A26:C26"/>
    <mergeCell ref="A27:C27"/>
    <mergeCell ref="A28:C28"/>
    <mergeCell ref="A29:C29"/>
    <mergeCell ref="A25:C25"/>
    <mergeCell ref="A41:C41"/>
    <mergeCell ref="A30:C30"/>
    <mergeCell ref="A31:C31"/>
    <mergeCell ref="A32:C32"/>
    <mergeCell ref="A33:C33"/>
    <mergeCell ref="A34:C34"/>
    <mergeCell ref="A35:C35"/>
    <mergeCell ref="A36:C36"/>
    <mergeCell ref="A40:C40"/>
    <mergeCell ref="A42:C42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59:C59"/>
    <mergeCell ref="A60:C60"/>
    <mergeCell ref="A49:C49"/>
    <mergeCell ref="A50:C50"/>
    <mergeCell ref="A51:C51"/>
    <mergeCell ref="A52:C52"/>
    <mergeCell ref="A53:C53"/>
    <mergeCell ref="A65:C65"/>
    <mergeCell ref="A54:C54"/>
    <mergeCell ref="A75:C75"/>
    <mergeCell ref="A76:C76"/>
    <mergeCell ref="A77:C77"/>
    <mergeCell ref="A66:C66"/>
    <mergeCell ref="A55:C55"/>
    <mergeCell ref="A56:C56"/>
    <mergeCell ref="A57:C57"/>
    <mergeCell ref="A58:C58"/>
    <mergeCell ref="A64:C64"/>
    <mergeCell ref="A78:C78"/>
    <mergeCell ref="A67:C67"/>
    <mergeCell ref="A68:C68"/>
    <mergeCell ref="A69:C69"/>
    <mergeCell ref="A70:C70"/>
    <mergeCell ref="A71:C71"/>
    <mergeCell ref="A72:C72"/>
    <mergeCell ref="A73:C73"/>
    <mergeCell ref="A74:C74"/>
    <mergeCell ref="A84:C84"/>
    <mergeCell ref="D84:H84"/>
    <mergeCell ref="A85:C85"/>
    <mergeCell ref="D85:H85"/>
    <mergeCell ref="A79:C79"/>
    <mergeCell ref="A81:C81"/>
    <mergeCell ref="D81:H81"/>
    <mergeCell ref="A82:C82"/>
    <mergeCell ref="D82:H82"/>
    <mergeCell ref="A83:C83"/>
    <mergeCell ref="D83:H83"/>
  </mergeCells>
  <printOptions horizontalCentered="1"/>
  <pageMargins left="0.19685039370078741" right="0.27559055118110237" top="0.59055118110236227" bottom="0.35433070866141736" header="0.39370078740157483" footer="0.31496062992125984"/>
  <pageSetup paperSize="9" scale="48" orientation="landscape" r:id="rId1"/>
  <headerFooter alignWithMargins="0">
    <oddFooter>&amp;RСтор.  &amp;P</oddFooter>
  </headerFooter>
  <rowBreaks count="1" manualBreakCount="1">
    <brk id="42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Аркуш3">
    <tabColor rgb="FF92D050"/>
  </sheetPr>
  <dimension ref="A1:AQ93"/>
  <sheetViews>
    <sheetView view="pageBreakPreview" zoomScale="80" zoomScaleNormal="60" zoomScaleSheetLayoutView="80" workbookViewId="0">
      <selection activeCell="H10" sqref="H10"/>
    </sheetView>
  </sheetViews>
  <sheetFormatPr defaultRowHeight="15" x14ac:dyDescent="0.25"/>
  <cols>
    <col min="1" max="1" width="9.140625" style="41"/>
    <col min="2" max="2" width="10.140625" style="41" customWidth="1"/>
    <col min="3" max="3" width="54" style="41" customWidth="1"/>
    <col min="4" max="4" width="17.5703125" style="41" customWidth="1"/>
    <col min="5" max="7" width="15.85546875" style="41" customWidth="1"/>
    <col min="8" max="8" width="15.42578125" style="41" customWidth="1"/>
    <col min="9" max="18" width="9.140625" style="211"/>
    <col min="19" max="43" width="9.140625" style="180"/>
    <col min="44" max="16384" width="9.140625" style="12"/>
  </cols>
  <sheetData>
    <row r="1" spans="1:43" ht="18" customHeight="1" x14ac:dyDescent="0.25">
      <c r="B1" s="368"/>
      <c r="C1" s="369" t="s">
        <v>0</v>
      </c>
      <c r="D1" s="1022">
        <f>'Звіт 1,2,3'!D1</f>
        <v>37650571</v>
      </c>
      <c r="E1" s="1022"/>
      <c r="F1" s="1010" t="s">
        <v>1</v>
      </c>
      <c r="G1" s="1010"/>
      <c r="H1" s="370">
        <f>'Звіт 1,2,3'!H1</f>
        <v>150</v>
      </c>
    </row>
    <row r="2" spans="1:43" ht="47.45" customHeight="1" x14ac:dyDescent="0.25">
      <c r="F2" s="1011" t="s">
        <v>258</v>
      </c>
      <c r="G2" s="1012"/>
      <c r="H2" s="1012"/>
    </row>
    <row r="3" spans="1:43" ht="23.45" customHeight="1" x14ac:dyDescent="0.3">
      <c r="A3" s="1013" t="s">
        <v>359</v>
      </c>
      <c r="B3" s="1013"/>
      <c r="C3" s="1013"/>
      <c r="D3" s="1013"/>
      <c r="E3" s="1013"/>
      <c r="F3" s="1013"/>
      <c r="G3" s="1013"/>
      <c r="H3" s="1013"/>
    </row>
    <row r="4" spans="1:43" ht="17.45" customHeight="1" thickBot="1" x14ac:dyDescent="0.35">
      <c r="H4" s="371" t="s">
        <v>323</v>
      </c>
    </row>
    <row r="5" spans="1:43" ht="18.75" customHeight="1" x14ac:dyDescent="0.25">
      <c r="A5" s="1014" t="s">
        <v>6</v>
      </c>
      <c r="B5" s="1019" t="s">
        <v>261</v>
      </c>
      <c r="C5" s="1021" t="s">
        <v>7</v>
      </c>
      <c r="D5" s="923" t="s">
        <v>91</v>
      </c>
      <c r="E5" s="923" t="s">
        <v>8</v>
      </c>
      <c r="F5" s="923" t="s">
        <v>100</v>
      </c>
      <c r="G5" s="923" t="s">
        <v>101</v>
      </c>
      <c r="H5" s="1017" t="s">
        <v>420</v>
      </c>
    </row>
    <row r="6" spans="1:43" ht="18.75" customHeight="1" x14ac:dyDescent="0.25">
      <c r="A6" s="1015"/>
      <c r="B6" s="1020"/>
      <c r="C6" s="807"/>
      <c r="D6" s="1016"/>
      <c r="E6" s="1016"/>
      <c r="F6" s="1016"/>
      <c r="G6" s="1016"/>
      <c r="H6" s="1018"/>
    </row>
    <row r="7" spans="1:43" ht="15.6" customHeight="1" x14ac:dyDescent="0.25">
      <c r="A7" s="1015"/>
      <c r="B7" s="1020"/>
      <c r="C7" s="807"/>
      <c r="D7" s="1016"/>
      <c r="E7" s="1016"/>
      <c r="F7" s="1016"/>
      <c r="G7" s="1016"/>
      <c r="H7" s="1018"/>
    </row>
    <row r="8" spans="1:43" s="27" customFormat="1" ht="15.75" x14ac:dyDescent="0.25">
      <c r="A8" s="193" t="s">
        <v>9</v>
      </c>
      <c r="B8" s="85" t="s">
        <v>86</v>
      </c>
      <c r="C8" s="85">
        <v>3</v>
      </c>
      <c r="D8" s="53">
        <v>4</v>
      </c>
      <c r="E8" s="85">
        <v>5</v>
      </c>
      <c r="F8" s="53">
        <v>6</v>
      </c>
      <c r="G8" s="85">
        <v>7</v>
      </c>
      <c r="H8" s="190">
        <v>8</v>
      </c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</row>
    <row r="9" spans="1:43" ht="24" customHeight="1" x14ac:dyDescent="0.3">
      <c r="A9" s="375">
        <v>1</v>
      </c>
      <c r="B9" s="376"/>
      <c r="C9" s="377" t="s">
        <v>218</v>
      </c>
      <c r="D9" s="67">
        <f>SUM(D10:D37)</f>
        <v>1445663.65</v>
      </c>
      <c r="E9" s="67">
        <f>SUM(E10:E37)</f>
        <v>1474314.26</v>
      </c>
      <c r="F9" s="67">
        <f>SUM(F10:F37)</f>
        <v>0</v>
      </c>
      <c r="G9" s="67">
        <f>SUM(G10:G37)</f>
        <v>1474314.26</v>
      </c>
      <c r="H9" s="105">
        <f>SUM(H10:H37)</f>
        <v>0</v>
      </c>
    </row>
    <row r="10" spans="1:43" ht="24" customHeight="1" x14ac:dyDescent="0.3">
      <c r="A10" s="33" t="s">
        <v>199</v>
      </c>
      <c r="B10" s="46">
        <v>1</v>
      </c>
      <c r="C10" s="44" t="s">
        <v>259</v>
      </c>
      <c r="D10" s="344">
        <v>1445663.65</v>
      </c>
      <c r="E10" s="281">
        <f>F10+G10+H10</f>
        <v>1474314.26</v>
      </c>
      <c r="F10" s="344">
        <v>0</v>
      </c>
      <c r="G10" s="344">
        <v>1474314.26</v>
      </c>
      <c r="H10" s="345">
        <v>0</v>
      </c>
    </row>
    <row r="11" spans="1:43" ht="24" customHeight="1" x14ac:dyDescent="0.3">
      <c r="A11" s="33" t="s">
        <v>289</v>
      </c>
      <c r="B11" s="46">
        <v>2</v>
      </c>
      <c r="C11" s="44" t="s">
        <v>260</v>
      </c>
      <c r="D11" s="344">
        <v>0</v>
      </c>
      <c r="E11" s="281">
        <f t="shared" ref="E11:E37" si="0">F11+G11+H11</f>
        <v>0</v>
      </c>
      <c r="F11" s="344">
        <v>0</v>
      </c>
      <c r="G11" s="344">
        <v>0</v>
      </c>
      <c r="H11" s="345">
        <v>0</v>
      </c>
    </row>
    <row r="12" spans="1:43" s="41" customFormat="1" ht="34.5" customHeight="1" x14ac:dyDescent="0.3">
      <c r="A12" s="33" t="s">
        <v>290</v>
      </c>
      <c r="B12" s="46">
        <v>3</v>
      </c>
      <c r="C12" s="32" t="s">
        <v>262</v>
      </c>
      <c r="D12" s="344">
        <v>0</v>
      </c>
      <c r="E12" s="281">
        <f t="shared" si="0"/>
        <v>0</v>
      </c>
      <c r="F12" s="344">
        <v>0</v>
      </c>
      <c r="G12" s="344">
        <v>0</v>
      </c>
      <c r="H12" s="345">
        <v>0</v>
      </c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</row>
    <row r="13" spans="1:43" ht="37.5" x14ac:dyDescent="0.3">
      <c r="A13" s="33" t="s">
        <v>291</v>
      </c>
      <c r="B13" s="46">
        <v>4</v>
      </c>
      <c r="C13" s="32" t="s">
        <v>263</v>
      </c>
      <c r="D13" s="344">
        <v>0</v>
      </c>
      <c r="E13" s="281">
        <f t="shared" si="0"/>
        <v>0</v>
      </c>
      <c r="F13" s="344">
        <v>0</v>
      </c>
      <c r="G13" s="344">
        <v>0</v>
      </c>
      <c r="H13" s="345">
        <v>0</v>
      </c>
    </row>
    <row r="14" spans="1:43" ht="37.5" x14ac:dyDescent="0.3">
      <c r="A14" s="33" t="s">
        <v>292</v>
      </c>
      <c r="B14" s="46">
        <v>5</v>
      </c>
      <c r="C14" s="32" t="s">
        <v>264</v>
      </c>
      <c r="D14" s="344">
        <v>0</v>
      </c>
      <c r="E14" s="281">
        <f t="shared" si="0"/>
        <v>0</v>
      </c>
      <c r="F14" s="344">
        <v>0</v>
      </c>
      <c r="G14" s="344">
        <v>0</v>
      </c>
      <c r="H14" s="345">
        <v>0</v>
      </c>
    </row>
    <row r="15" spans="1:43" ht="35.1" customHeight="1" x14ac:dyDescent="0.3">
      <c r="A15" s="33" t="s">
        <v>293</v>
      </c>
      <c r="B15" s="46">
        <v>6</v>
      </c>
      <c r="C15" s="32" t="s">
        <v>265</v>
      </c>
      <c r="D15" s="344">
        <v>0</v>
      </c>
      <c r="E15" s="281">
        <f t="shared" si="0"/>
        <v>0</v>
      </c>
      <c r="F15" s="344">
        <v>0</v>
      </c>
      <c r="G15" s="344">
        <v>0</v>
      </c>
      <c r="H15" s="345">
        <v>0</v>
      </c>
    </row>
    <row r="16" spans="1:43" ht="18.75" x14ac:dyDescent="0.3">
      <c r="A16" s="33" t="s">
        <v>294</v>
      </c>
      <c r="B16" s="46">
        <v>7</v>
      </c>
      <c r="C16" s="32" t="s">
        <v>285</v>
      </c>
      <c r="D16" s="344">
        <v>0</v>
      </c>
      <c r="E16" s="281">
        <f t="shared" si="0"/>
        <v>0</v>
      </c>
      <c r="F16" s="344">
        <v>0</v>
      </c>
      <c r="G16" s="344">
        <v>0</v>
      </c>
      <c r="H16" s="345">
        <v>0</v>
      </c>
    </row>
    <row r="17" spans="1:8" ht="37.5" x14ac:dyDescent="0.3">
      <c r="A17" s="33" t="s">
        <v>295</v>
      </c>
      <c r="B17" s="46">
        <v>8</v>
      </c>
      <c r="C17" s="32" t="s">
        <v>286</v>
      </c>
      <c r="D17" s="344">
        <v>0</v>
      </c>
      <c r="E17" s="281">
        <f t="shared" si="0"/>
        <v>0</v>
      </c>
      <c r="F17" s="344">
        <v>0</v>
      </c>
      <c r="G17" s="344">
        <v>0</v>
      </c>
      <c r="H17" s="345">
        <v>0</v>
      </c>
    </row>
    <row r="18" spans="1:8" ht="79.349999999999994" customHeight="1" x14ac:dyDescent="0.3">
      <c r="A18" s="33" t="s">
        <v>296</v>
      </c>
      <c r="B18" s="46">
        <v>9</v>
      </c>
      <c r="C18" s="32" t="s">
        <v>266</v>
      </c>
      <c r="D18" s="344">
        <v>0</v>
      </c>
      <c r="E18" s="281">
        <f t="shared" si="0"/>
        <v>0</v>
      </c>
      <c r="F18" s="344">
        <v>0</v>
      </c>
      <c r="G18" s="344">
        <v>0</v>
      </c>
      <c r="H18" s="345">
        <v>0</v>
      </c>
    </row>
    <row r="19" spans="1:8" ht="20.100000000000001" customHeight="1" x14ac:dyDescent="0.3">
      <c r="A19" s="33" t="s">
        <v>297</v>
      </c>
      <c r="B19" s="46">
        <v>10</v>
      </c>
      <c r="C19" s="32" t="s">
        <v>267</v>
      </c>
      <c r="D19" s="344">
        <v>0</v>
      </c>
      <c r="E19" s="281">
        <f t="shared" si="0"/>
        <v>0</v>
      </c>
      <c r="F19" s="344">
        <v>0</v>
      </c>
      <c r="G19" s="344">
        <v>0</v>
      </c>
      <c r="H19" s="345">
        <v>0</v>
      </c>
    </row>
    <row r="20" spans="1:8" ht="20.100000000000001" customHeight="1" x14ac:dyDescent="0.3">
      <c r="A20" s="33" t="s">
        <v>298</v>
      </c>
      <c r="B20" s="46">
        <v>11</v>
      </c>
      <c r="C20" s="32" t="s">
        <v>268</v>
      </c>
      <c r="D20" s="344">
        <v>0</v>
      </c>
      <c r="E20" s="281">
        <f t="shared" si="0"/>
        <v>0</v>
      </c>
      <c r="F20" s="344">
        <v>0</v>
      </c>
      <c r="G20" s="344">
        <v>0</v>
      </c>
      <c r="H20" s="345">
        <v>0</v>
      </c>
    </row>
    <row r="21" spans="1:8" ht="20.100000000000001" customHeight="1" x14ac:dyDescent="0.3">
      <c r="A21" s="33" t="s">
        <v>299</v>
      </c>
      <c r="B21" s="46">
        <v>12</v>
      </c>
      <c r="C21" s="32" t="s">
        <v>269</v>
      </c>
      <c r="D21" s="344">
        <v>0</v>
      </c>
      <c r="E21" s="281">
        <f t="shared" si="0"/>
        <v>0</v>
      </c>
      <c r="F21" s="344">
        <v>0</v>
      </c>
      <c r="G21" s="344">
        <v>0</v>
      </c>
      <c r="H21" s="345">
        <v>0</v>
      </c>
    </row>
    <row r="22" spans="1:8" ht="20.100000000000001" customHeight="1" x14ac:dyDescent="0.3">
      <c r="A22" s="33" t="s">
        <v>300</v>
      </c>
      <c r="B22" s="46">
        <v>13</v>
      </c>
      <c r="C22" s="32" t="s">
        <v>270</v>
      </c>
      <c r="D22" s="344">
        <v>0</v>
      </c>
      <c r="E22" s="281">
        <f t="shared" si="0"/>
        <v>0</v>
      </c>
      <c r="F22" s="344">
        <v>0</v>
      </c>
      <c r="G22" s="344">
        <v>0</v>
      </c>
      <c r="H22" s="345">
        <v>0</v>
      </c>
    </row>
    <row r="23" spans="1:8" ht="20.100000000000001" customHeight="1" x14ac:dyDescent="0.3">
      <c r="A23" s="33" t="s">
        <v>301</v>
      </c>
      <c r="B23" s="46">
        <v>14</v>
      </c>
      <c r="C23" s="32" t="s">
        <v>271</v>
      </c>
      <c r="D23" s="344">
        <v>0</v>
      </c>
      <c r="E23" s="281">
        <f t="shared" si="0"/>
        <v>0</v>
      </c>
      <c r="F23" s="344">
        <v>0</v>
      </c>
      <c r="G23" s="344">
        <v>0</v>
      </c>
      <c r="H23" s="345">
        <v>0</v>
      </c>
    </row>
    <row r="24" spans="1:8" ht="20.100000000000001" customHeight="1" x14ac:dyDescent="0.3">
      <c r="A24" s="33" t="s">
        <v>302</v>
      </c>
      <c r="B24" s="46">
        <v>15</v>
      </c>
      <c r="C24" s="32" t="s">
        <v>272</v>
      </c>
      <c r="D24" s="344">
        <v>0</v>
      </c>
      <c r="E24" s="281">
        <f t="shared" si="0"/>
        <v>0</v>
      </c>
      <c r="F24" s="344">
        <v>0</v>
      </c>
      <c r="G24" s="344">
        <v>0</v>
      </c>
      <c r="H24" s="345">
        <v>0</v>
      </c>
    </row>
    <row r="25" spans="1:8" ht="57" customHeight="1" x14ac:dyDescent="0.3">
      <c r="A25" s="33" t="s">
        <v>303</v>
      </c>
      <c r="B25" s="46">
        <v>16</v>
      </c>
      <c r="C25" s="32" t="s">
        <v>273</v>
      </c>
      <c r="D25" s="344">
        <v>0</v>
      </c>
      <c r="E25" s="281">
        <f t="shared" si="0"/>
        <v>0</v>
      </c>
      <c r="F25" s="344">
        <v>0</v>
      </c>
      <c r="G25" s="344">
        <v>0</v>
      </c>
      <c r="H25" s="345">
        <v>0</v>
      </c>
    </row>
    <row r="26" spans="1:8" ht="56.25" x14ac:dyDescent="0.3">
      <c r="A26" s="33" t="s">
        <v>304</v>
      </c>
      <c r="B26" s="46">
        <v>17</v>
      </c>
      <c r="C26" s="43" t="s">
        <v>274</v>
      </c>
      <c r="D26" s="344">
        <v>0</v>
      </c>
      <c r="E26" s="281">
        <f t="shared" si="0"/>
        <v>0</v>
      </c>
      <c r="F26" s="344">
        <v>0</v>
      </c>
      <c r="G26" s="344">
        <v>0</v>
      </c>
      <c r="H26" s="345">
        <v>0</v>
      </c>
    </row>
    <row r="27" spans="1:8" ht="56.25" x14ac:dyDescent="0.3">
      <c r="A27" s="33" t="s">
        <v>305</v>
      </c>
      <c r="B27" s="46">
        <v>18</v>
      </c>
      <c r="C27" s="43" t="s">
        <v>275</v>
      </c>
      <c r="D27" s="344">
        <v>0</v>
      </c>
      <c r="E27" s="281">
        <f t="shared" si="0"/>
        <v>0</v>
      </c>
      <c r="F27" s="344">
        <v>0</v>
      </c>
      <c r="G27" s="344">
        <v>0</v>
      </c>
      <c r="H27" s="345">
        <v>0</v>
      </c>
    </row>
    <row r="28" spans="1:8" ht="26.1" customHeight="1" x14ac:dyDescent="0.3">
      <c r="A28" s="33" t="s">
        <v>306</v>
      </c>
      <c r="B28" s="46">
        <v>19</v>
      </c>
      <c r="C28" s="43" t="s">
        <v>276</v>
      </c>
      <c r="D28" s="344">
        <v>0</v>
      </c>
      <c r="E28" s="281">
        <f t="shared" si="0"/>
        <v>0</v>
      </c>
      <c r="F28" s="344">
        <v>0</v>
      </c>
      <c r="G28" s="344">
        <v>0</v>
      </c>
      <c r="H28" s="345">
        <v>0</v>
      </c>
    </row>
    <row r="29" spans="1:8" ht="26.1" customHeight="1" x14ac:dyDescent="0.3">
      <c r="A29" s="33" t="s">
        <v>307</v>
      </c>
      <c r="B29" s="46">
        <v>20</v>
      </c>
      <c r="C29" s="43" t="s">
        <v>277</v>
      </c>
      <c r="D29" s="344">
        <v>0</v>
      </c>
      <c r="E29" s="281">
        <f t="shared" si="0"/>
        <v>0</v>
      </c>
      <c r="F29" s="344">
        <v>0</v>
      </c>
      <c r="G29" s="344">
        <v>0</v>
      </c>
      <c r="H29" s="345">
        <v>0</v>
      </c>
    </row>
    <row r="30" spans="1:8" ht="26.1" customHeight="1" x14ac:dyDescent="0.3">
      <c r="A30" s="33" t="s">
        <v>308</v>
      </c>
      <c r="B30" s="46">
        <v>21</v>
      </c>
      <c r="C30" s="43" t="s">
        <v>278</v>
      </c>
      <c r="D30" s="344">
        <v>0</v>
      </c>
      <c r="E30" s="281">
        <f t="shared" si="0"/>
        <v>0</v>
      </c>
      <c r="F30" s="344">
        <v>0</v>
      </c>
      <c r="G30" s="344">
        <v>0</v>
      </c>
      <c r="H30" s="345">
        <v>0</v>
      </c>
    </row>
    <row r="31" spans="1:8" ht="72.599999999999994" customHeight="1" x14ac:dyDescent="0.3">
      <c r="A31" s="33" t="s">
        <v>309</v>
      </c>
      <c r="B31" s="46">
        <v>22</v>
      </c>
      <c r="C31" s="43" t="s">
        <v>279</v>
      </c>
      <c r="D31" s="344">
        <v>0</v>
      </c>
      <c r="E31" s="281">
        <f t="shared" si="0"/>
        <v>0</v>
      </c>
      <c r="F31" s="344">
        <v>0</v>
      </c>
      <c r="G31" s="344">
        <v>0</v>
      </c>
      <c r="H31" s="345">
        <v>0</v>
      </c>
    </row>
    <row r="32" spans="1:8" ht="36" customHeight="1" x14ac:dyDescent="0.3">
      <c r="A32" s="33" t="s">
        <v>310</v>
      </c>
      <c r="B32" s="46">
        <v>23</v>
      </c>
      <c r="C32" s="43" t="s">
        <v>280</v>
      </c>
      <c r="D32" s="344">
        <v>0</v>
      </c>
      <c r="E32" s="281">
        <f t="shared" si="0"/>
        <v>0</v>
      </c>
      <c r="F32" s="344">
        <v>0</v>
      </c>
      <c r="G32" s="344">
        <v>0</v>
      </c>
      <c r="H32" s="345">
        <v>0</v>
      </c>
    </row>
    <row r="33" spans="1:8" ht="36" customHeight="1" x14ac:dyDescent="0.3">
      <c r="A33" s="33" t="s">
        <v>311</v>
      </c>
      <c r="B33" s="46">
        <v>24</v>
      </c>
      <c r="C33" s="43" t="s">
        <v>281</v>
      </c>
      <c r="D33" s="344">
        <v>0</v>
      </c>
      <c r="E33" s="281">
        <f t="shared" si="0"/>
        <v>0</v>
      </c>
      <c r="F33" s="344">
        <v>0</v>
      </c>
      <c r="G33" s="344">
        <v>0</v>
      </c>
      <c r="H33" s="345">
        <v>0</v>
      </c>
    </row>
    <row r="34" spans="1:8" ht="54" customHeight="1" x14ac:dyDescent="0.3">
      <c r="A34" s="33" t="s">
        <v>312</v>
      </c>
      <c r="B34" s="46">
        <v>25</v>
      </c>
      <c r="C34" s="43" t="s">
        <v>282</v>
      </c>
      <c r="D34" s="344">
        <v>0</v>
      </c>
      <c r="E34" s="281">
        <f t="shared" si="0"/>
        <v>0</v>
      </c>
      <c r="F34" s="344">
        <v>0</v>
      </c>
      <c r="G34" s="344">
        <v>0</v>
      </c>
      <c r="H34" s="345">
        <v>0</v>
      </c>
    </row>
    <row r="35" spans="1:8" ht="56.25" x14ac:dyDescent="0.3">
      <c r="A35" s="33" t="s">
        <v>313</v>
      </c>
      <c r="B35" s="46">
        <v>26</v>
      </c>
      <c r="C35" s="43" t="s">
        <v>283</v>
      </c>
      <c r="D35" s="344">
        <v>0</v>
      </c>
      <c r="E35" s="281">
        <f t="shared" si="0"/>
        <v>0</v>
      </c>
      <c r="F35" s="344">
        <v>0</v>
      </c>
      <c r="G35" s="344">
        <v>0</v>
      </c>
      <c r="H35" s="345">
        <v>0</v>
      </c>
    </row>
    <row r="36" spans="1:8" ht="37.5" x14ac:dyDescent="0.3">
      <c r="A36" s="33" t="s">
        <v>314</v>
      </c>
      <c r="B36" s="46">
        <v>27</v>
      </c>
      <c r="C36" s="43" t="s">
        <v>284</v>
      </c>
      <c r="D36" s="344">
        <v>0</v>
      </c>
      <c r="E36" s="281">
        <f t="shared" si="0"/>
        <v>0</v>
      </c>
      <c r="F36" s="344">
        <v>0</v>
      </c>
      <c r="G36" s="344">
        <v>0</v>
      </c>
      <c r="H36" s="345">
        <v>0</v>
      </c>
    </row>
    <row r="37" spans="1:8" ht="26.1" customHeight="1" thickBot="1" x14ac:dyDescent="0.35">
      <c r="A37" s="34" t="s">
        <v>315</v>
      </c>
      <c r="B37" s="191">
        <v>28</v>
      </c>
      <c r="C37" s="192" t="s">
        <v>371</v>
      </c>
      <c r="D37" s="346">
        <v>0</v>
      </c>
      <c r="E37" s="373">
        <f t="shared" si="0"/>
        <v>0</v>
      </c>
      <c r="F37" s="346">
        <v>0</v>
      </c>
      <c r="G37" s="346">
        <v>0</v>
      </c>
      <c r="H37" s="347">
        <v>0</v>
      </c>
    </row>
    <row r="38" spans="1:8" x14ac:dyDescent="0.25">
      <c r="A38" s="211"/>
      <c r="B38" s="211"/>
      <c r="C38" s="211"/>
      <c r="D38" s="211"/>
      <c r="E38" s="211"/>
      <c r="F38" s="211"/>
      <c r="G38" s="211"/>
      <c r="H38" s="211"/>
    </row>
    <row r="39" spans="1:8" x14ac:dyDescent="0.25">
      <c r="A39" s="211"/>
      <c r="B39" s="211"/>
      <c r="C39" s="211"/>
      <c r="D39" s="211"/>
      <c r="E39" s="211"/>
      <c r="F39" s="211"/>
      <c r="G39" s="211"/>
      <c r="H39" s="211"/>
    </row>
    <row r="40" spans="1:8" x14ac:dyDescent="0.25">
      <c r="A40" s="211"/>
      <c r="B40" s="211"/>
      <c r="C40" s="211"/>
      <c r="D40" s="211"/>
      <c r="E40" s="211"/>
      <c r="F40" s="211"/>
      <c r="G40" s="211"/>
      <c r="H40" s="211"/>
    </row>
    <row r="41" spans="1:8" x14ac:dyDescent="0.25">
      <c r="A41" s="211"/>
      <c r="B41" s="211"/>
      <c r="C41" s="211"/>
      <c r="D41" s="211"/>
      <c r="E41" s="211"/>
      <c r="F41" s="211"/>
      <c r="G41" s="211"/>
      <c r="H41" s="211"/>
    </row>
    <row r="42" spans="1:8" x14ac:dyDescent="0.25">
      <c r="A42" s="211"/>
      <c r="B42" s="211"/>
      <c r="C42" s="211"/>
      <c r="D42" s="211"/>
      <c r="E42" s="211"/>
      <c r="F42" s="211"/>
      <c r="G42" s="211"/>
      <c r="H42" s="211"/>
    </row>
    <row r="43" spans="1:8" x14ac:dyDescent="0.25">
      <c r="A43" s="211"/>
      <c r="B43" s="211"/>
      <c r="C43" s="211"/>
      <c r="D43" s="211"/>
      <c r="E43" s="211"/>
      <c r="F43" s="211"/>
      <c r="G43" s="211"/>
      <c r="H43" s="211"/>
    </row>
    <row r="44" spans="1:8" x14ac:dyDescent="0.25">
      <c r="A44" s="211"/>
      <c r="B44" s="211"/>
      <c r="C44" s="211"/>
      <c r="D44" s="211"/>
      <c r="E44" s="211"/>
      <c r="F44" s="211"/>
      <c r="G44" s="211"/>
      <c r="H44" s="211"/>
    </row>
    <row r="45" spans="1:8" x14ac:dyDescent="0.25">
      <c r="A45" s="211"/>
      <c r="B45" s="211"/>
      <c r="C45" s="211"/>
      <c r="D45" s="211"/>
      <c r="E45" s="211"/>
      <c r="F45" s="211"/>
      <c r="G45" s="211"/>
      <c r="H45" s="211"/>
    </row>
    <row r="46" spans="1:8" x14ac:dyDescent="0.25">
      <c r="A46" s="211"/>
      <c r="B46" s="211"/>
      <c r="C46" s="211"/>
      <c r="D46" s="211"/>
      <c r="E46" s="211"/>
      <c r="F46" s="211"/>
      <c r="G46" s="211"/>
      <c r="H46" s="211"/>
    </row>
    <row r="47" spans="1:8" x14ac:dyDescent="0.25">
      <c r="A47" s="211"/>
      <c r="B47" s="211"/>
      <c r="C47" s="211"/>
      <c r="D47" s="211"/>
      <c r="E47" s="211"/>
      <c r="F47" s="211"/>
      <c r="G47" s="211"/>
      <c r="H47" s="211"/>
    </row>
    <row r="48" spans="1:8" x14ac:dyDescent="0.25">
      <c r="A48" s="211"/>
      <c r="B48" s="211"/>
      <c r="C48" s="211"/>
      <c r="D48" s="211"/>
      <c r="E48" s="211"/>
      <c r="F48" s="211"/>
      <c r="G48" s="211"/>
      <c r="H48" s="211"/>
    </row>
    <row r="49" spans="1:8" x14ac:dyDescent="0.25">
      <c r="A49" s="211"/>
      <c r="B49" s="211"/>
      <c r="C49" s="211"/>
      <c r="D49" s="211"/>
      <c r="E49" s="211"/>
      <c r="F49" s="211"/>
      <c r="G49" s="211"/>
      <c r="H49" s="211"/>
    </row>
    <row r="50" spans="1:8" x14ac:dyDescent="0.25">
      <c r="A50" s="211"/>
      <c r="B50" s="211"/>
      <c r="C50" s="211"/>
      <c r="D50" s="211"/>
      <c r="E50" s="211"/>
      <c r="F50" s="211"/>
      <c r="G50" s="211"/>
      <c r="H50" s="211"/>
    </row>
    <row r="51" spans="1:8" x14ac:dyDescent="0.25">
      <c r="A51" s="211"/>
      <c r="B51" s="211"/>
      <c r="C51" s="211"/>
      <c r="D51" s="211"/>
      <c r="E51" s="211"/>
      <c r="F51" s="211"/>
      <c r="G51" s="211"/>
      <c r="H51" s="211"/>
    </row>
    <row r="52" spans="1:8" x14ac:dyDescent="0.25">
      <c r="A52" s="211"/>
      <c r="B52" s="211"/>
      <c r="C52" s="211"/>
      <c r="D52" s="211"/>
      <c r="E52" s="211"/>
      <c r="F52" s="211"/>
      <c r="G52" s="211"/>
      <c r="H52" s="211"/>
    </row>
    <row r="53" spans="1:8" x14ac:dyDescent="0.25">
      <c r="A53" s="211"/>
      <c r="B53" s="211"/>
      <c r="C53" s="211"/>
      <c r="D53" s="211"/>
      <c r="E53" s="211"/>
      <c r="F53" s="211"/>
      <c r="G53" s="211"/>
      <c r="H53" s="211"/>
    </row>
    <row r="54" spans="1:8" x14ac:dyDescent="0.25">
      <c r="A54" s="211"/>
      <c r="B54" s="211"/>
      <c r="C54" s="211"/>
      <c r="D54" s="211"/>
      <c r="E54" s="211"/>
      <c r="F54" s="211"/>
      <c r="G54" s="211"/>
      <c r="H54" s="211"/>
    </row>
    <row r="55" spans="1:8" x14ac:dyDescent="0.25">
      <c r="A55" s="211"/>
      <c r="B55" s="211"/>
      <c r="C55" s="211"/>
      <c r="D55" s="211"/>
      <c r="E55" s="211"/>
      <c r="F55" s="211"/>
      <c r="G55" s="211"/>
      <c r="H55" s="211"/>
    </row>
    <row r="56" spans="1:8" x14ac:dyDescent="0.25">
      <c r="A56" s="211"/>
      <c r="B56" s="211"/>
      <c r="C56" s="211"/>
      <c r="D56" s="211"/>
      <c r="E56" s="211"/>
      <c r="F56" s="211"/>
      <c r="G56" s="211"/>
      <c r="H56" s="211"/>
    </row>
    <row r="57" spans="1:8" x14ac:dyDescent="0.25">
      <c r="A57" s="211"/>
      <c r="B57" s="211"/>
      <c r="C57" s="211"/>
      <c r="D57" s="211"/>
      <c r="E57" s="211"/>
      <c r="F57" s="211"/>
      <c r="G57" s="211"/>
      <c r="H57" s="211"/>
    </row>
    <row r="58" spans="1:8" x14ac:dyDescent="0.25">
      <c r="A58" s="211"/>
      <c r="B58" s="211"/>
      <c r="C58" s="211"/>
      <c r="D58" s="211"/>
      <c r="E58" s="211"/>
      <c r="F58" s="211"/>
      <c r="G58" s="211"/>
      <c r="H58" s="211"/>
    </row>
    <row r="59" spans="1:8" x14ac:dyDescent="0.25">
      <c r="A59" s="211"/>
      <c r="B59" s="211"/>
      <c r="C59" s="211"/>
      <c r="D59" s="211"/>
      <c r="E59" s="211"/>
      <c r="F59" s="211"/>
      <c r="G59" s="211"/>
      <c r="H59" s="211"/>
    </row>
    <row r="60" spans="1:8" x14ac:dyDescent="0.25">
      <c r="A60" s="211"/>
      <c r="B60" s="211"/>
      <c r="C60" s="211"/>
      <c r="D60" s="211"/>
      <c r="E60" s="211"/>
      <c r="F60" s="211"/>
      <c r="G60" s="211"/>
      <c r="H60" s="211"/>
    </row>
    <row r="61" spans="1:8" x14ac:dyDescent="0.25">
      <c r="A61" s="211"/>
      <c r="B61" s="211"/>
      <c r="C61" s="211"/>
      <c r="D61" s="211"/>
      <c r="E61" s="211"/>
      <c r="F61" s="211"/>
      <c r="G61" s="211"/>
      <c r="H61" s="211"/>
    </row>
    <row r="62" spans="1:8" x14ac:dyDescent="0.25">
      <c r="A62" s="211"/>
      <c r="B62" s="211"/>
      <c r="C62" s="211"/>
      <c r="D62" s="211"/>
      <c r="E62" s="211"/>
      <c r="F62" s="211"/>
      <c r="G62" s="211"/>
      <c r="H62" s="211"/>
    </row>
    <row r="63" spans="1:8" x14ac:dyDescent="0.25">
      <c r="A63" s="211"/>
      <c r="B63" s="211"/>
      <c r="C63" s="211"/>
      <c r="D63" s="211"/>
      <c r="E63" s="211"/>
      <c r="F63" s="211"/>
      <c r="G63" s="211"/>
      <c r="H63" s="211"/>
    </row>
    <row r="64" spans="1:8" x14ac:dyDescent="0.25">
      <c r="A64" s="211"/>
      <c r="B64" s="211"/>
      <c r="C64" s="211"/>
      <c r="D64" s="211"/>
      <c r="E64" s="211"/>
      <c r="F64" s="211"/>
      <c r="G64" s="211"/>
      <c r="H64" s="211"/>
    </row>
    <row r="65" spans="1:8" x14ac:dyDescent="0.25">
      <c r="A65" s="211"/>
      <c r="B65" s="211"/>
      <c r="C65" s="211"/>
      <c r="D65" s="211"/>
      <c r="E65" s="211"/>
      <c r="F65" s="211"/>
      <c r="G65" s="211"/>
      <c r="H65" s="211"/>
    </row>
    <row r="66" spans="1:8" x14ac:dyDescent="0.25">
      <c r="A66" s="211"/>
      <c r="B66" s="211"/>
      <c r="C66" s="211"/>
      <c r="D66" s="211"/>
      <c r="E66" s="211"/>
      <c r="F66" s="211"/>
      <c r="G66" s="211"/>
      <c r="H66" s="211"/>
    </row>
    <row r="67" spans="1:8" x14ac:dyDescent="0.25">
      <c r="A67" s="211"/>
      <c r="B67" s="211"/>
      <c r="C67" s="211"/>
      <c r="D67" s="211"/>
      <c r="E67" s="211"/>
      <c r="F67" s="211"/>
      <c r="G67" s="211"/>
      <c r="H67" s="211"/>
    </row>
    <row r="68" spans="1:8" x14ac:dyDescent="0.25">
      <c r="A68" s="211"/>
      <c r="B68" s="211"/>
      <c r="C68" s="211"/>
      <c r="D68" s="211"/>
      <c r="E68" s="211"/>
      <c r="F68" s="211"/>
      <c r="G68" s="211"/>
      <c r="H68" s="211"/>
    </row>
    <row r="69" spans="1:8" x14ac:dyDescent="0.25">
      <c r="A69" s="211"/>
      <c r="B69" s="211"/>
      <c r="C69" s="211"/>
      <c r="D69" s="211"/>
      <c r="E69" s="211"/>
      <c r="F69" s="211"/>
      <c r="G69" s="211"/>
      <c r="H69" s="211"/>
    </row>
    <row r="70" spans="1:8" x14ac:dyDescent="0.25">
      <c r="A70" s="211"/>
      <c r="B70" s="211"/>
      <c r="C70" s="211"/>
      <c r="D70" s="211"/>
      <c r="E70" s="211"/>
      <c r="F70" s="211"/>
      <c r="G70" s="211"/>
      <c r="H70" s="211"/>
    </row>
    <row r="71" spans="1:8" x14ac:dyDescent="0.25">
      <c r="A71" s="211"/>
      <c r="B71" s="211"/>
      <c r="C71" s="211"/>
      <c r="D71" s="211"/>
      <c r="E71" s="211"/>
      <c r="F71" s="211"/>
      <c r="G71" s="211"/>
      <c r="H71" s="211"/>
    </row>
    <row r="72" spans="1:8" x14ac:dyDescent="0.25">
      <c r="A72" s="211"/>
      <c r="B72" s="211"/>
      <c r="C72" s="211"/>
      <c r="D72" s="211"/>
      <c r="E72" s="211"/>
      <c r="F72" s="211"/>
      <c r="G72" s="211"/>
      <c r="H72" s="211"/>
    </row>
    <row r="73" spans="1:8" x14ac:dyDescent="0.25">
      <c r="A73" s="211"/>
      <c r="B73" s="211"/>
      <c r="C73" s="211"/>
      <c r="D73" s="211"/>
      <c r="E73" s="211"/>
      <c r="F73" s="211"/>
      <c r="G73" s="211"/>
      <c r="H73" s="211"/>
    </row>
    <row r="74" spans="1:8" x14ac:dyDescent="0.25">
      <c r="A74" s="211"/>
      <c r="B74" s="211"/>
      <c r="C74" s="211"/>
      <c r="D74" s="211"/>
      <c r="E74" s="211"/>
      <c r="F74" s="211"/>
      <c r="G74" s="211"/>
      <c r="H74" s="211"/>
    </row>
    <row r="75" spans="1:8" x14ac:dyDescent="0.25">
      <c r="A75" s="211"/>
      <c r="B75" s="211"/>
      <c r="C75" s="211"/>
      <c r="D75" s="211"/>
      <c r="E75" s="211"/>
      <c r="F75" s="211"/>
      <c r="G75" s="211"/>
      <c r="H75" s="211"/>
    </row>
    <row r="76" spans="1:8" x14ac:dyDescent="0.25">
      <c r="A76" s="211"/>
      <c r="B76" s="211"/>
      <c r="C76" s="211"/>
      <c r="D76" s="211"/>
      <c r="E76" s="211"/>
      <c r="F76" s="211"/>
      <c r="G76" s="211"/>
      <c r="H76" s="211"/>
    </row>
    <row r="77" spans="1:8" x14ac:dyDescent="0.25">
      <c r="A77" s="211"/>
      <c r="B77" s="211"/>
      <c r="C77" s="211"/>
      <c r="D77" s="211"/>
      <c r="E77" s="211"/>
      <c r="F77" s="211"/>
      <c r="G77" s="211"/>
      <c r="H77" s="211"/>
    </row>
    <row r="78" spans="1:8" x14ac:dyDescent="0.25">
      <c r="A78" s="211"/>
      <c r="B78" s="211"/>
      <c r="C78" s="211"/>
      <c r="D78" s="211"/>
      <c r="E78" s="211"/>
      <c r="F78" s="211"/>
      <c r="G78" s="211"/>
      <c r="H78" s="211"/>
    </row>
    <row r="79" spans="1:8" x14ac:dyDescent="0.25">
      <c r="A79" s="211"/>
      <c r="B79" s="211"/>
      <c r="C79" s="211"/>
      <c r="D79" s="211"/>
      <c r="E79" s="211"/>
      <c r="F79" s="211"/>
      <c r="G79" s="211"/>
      <c r="H79" s="211"/>
    </row>
    <row r="80" spans="1:8" x14ac:dyDescent="0.25">
      <c r="A80" s="211"/>
      <c r="B80" s="211"/>
      <c r="C80" s="211"/>
      <c r="D80" s="211"/>
      <c r="E80" s="211"/>
      <c r="F80" s="211"/>
      <c r="G80" s="211"/>
      <c r="H80" s="211"/>
    </row>
    <row r="81" spans="1:8" x14ac:dyDescent="0.25">
      <c r="A81" s="211"/>
      <c r="B81" s="211"/>
      <c r="C81" s="211"/>
      <c r="D81" s="211"/>
      <c r="E81" s="211"/>
      <c r="F81" s="211"/>
      <c r="G81" s="211"/>
      <c r="H81" s="211"/>
    </row>
    <row r="82" spans="1:8" x14ac:dyDescent="0.25">
      <c r="A82" s="211"/>
      <c r="B82" s="211"/>
      <c r="C82" s="211"/>
      <c r="D82" s="211"/>
      <c r="E82" s="211"/>
      <c r="F82" s="211"/>
      <c r="G82" s="211"/>
      <c r="H82" s="211"/>
    </row>
    <row r="83" spans="1:8" x14ac:dyDescent="0.25">
      <c r="A83" s="211"/>
      <c r="B83" s="211"/>
      <c r="C83" s="211"/>
      <c r="D83" s="211"/>
      <c r="E83" s="211"/>
      <c r="F83" s="211"/>
      <c r="G83" s="211"/>
      <c r="H83" s="211"/>
    </row>
    <row r="84" spans="1:8" x14ac:dyDescent="0.25">
      <c r="A84" s="211"/>
      <c r="B84" s="211"/>
      <c r="C84" s="211"/>
      <c r="D84" s="211"/>
      <c r="E84" s="211"/>
      <c r="F84" s="211"/>
      <c r="G84" s="211"/>
      <c r="H84" s="211"/>
    </row>
    <row r="85" spans="1:8" x14ac:dyDescent="0.25">
      <c r="A85" s="211"/>
      <c r="B85" s="211"/>
      <c r="C85" s="211"/>
      <c r="D85" s="211"/>
      <c r="E85" s="211"/>
      <c r="F85" s="211"/>
      <c r="G85" s="211"/>
      <c r="H85" s="211"/>
    </row>
    <row r="86" spans="1:8" x14ac:dyDescent="0.25">
      <c r="A86" s="211"/>
      <c r="B86" s="211"/>
      <c r="C86" s="211"/>
      <c r="D86" s="211"/>
      <c r="E86" s="211"/>
      <c r="F86" s="211"/>
      <c r="G86" s="211"/>
      <c r="H86" s="211"/>
    </row>
    <row r="87" spans="1:8" x14ac:dyDescent="0.25">
      <c r="A87" s="211"/>
      <c r="B87" s="211"/>
      <c r="C87" s="211"/>
      <c r="D87" s="211"/>
      <c r="E87" s="211"/>
      <c r="F87" s="211"/>
      <c r="G87" s="211"/>
      <c r="H87" s="211"/>
    </row>
    <row r="88" spans="1:8" x14ac:dyDescent="0.25">
      <c r="A88" s="211"/>
      <c r="B88" s="211"/>
      <c r="C88" s="211"/>
      <c r="D88" s="211"/>
      <c r="E88" s="211"/>
      <c r="F88" s="211"/>
      <c r="G88" s="211"/>
      <c r="H88" s="211"/>
    </row>
    <row r="89" spans="1:8" x14ac:dyDescent="0.25">
      <c r="A89" s="211"/>
      <c r="B89" s="211"/>
      <c r="C89" s="211"/>
      <c r="D89" s="211"/>
      <c r="E89" s="211"/>
      <c r="F89" s="211"/>
      <c r="G89" s="211"/>
      <c r="H89" s="211"/>
    </row>
    <row r="90" spans="1:8" x14ac:dyDescent="0.25">
      <c r="A90" s="211"/>
      <c r="B90" s="211"/>
      <c r="C90" s="211"/>
      <c r="D90" s="211"/>
      <c r="E90" s="211"/>
      <c r="F90" s="211"/>
      <c r="G90" s="211"/>
      <c r="H90" s="211"/>
    </row>
    <row r="91" spans="1:8" x14ac:dyDescent="0.25">
      <c r="A91" s="211"/>
      <c r="B91" s="211"/>
      <c r="C91" s="211"/>
      <c r="D91" s="211"/>
      <c r="E91" s="211"/>
      <c r="F91" s="211"/>
      <c r="G91" s="211"/>
      <c r="H91" s="211"/>
    </row>
    <row r="92" spans="1:8" x14ac:dyDescent="0.25">
      <c r="A92" s="211"/>
      <c r="B92" s="211"/>
      <c r="C92" s="211"/>
      <c r="D92" s="211"/>
      <c r="E92" s="211"/>
      <c r="F92" s="211"/>
      <c r="G92" s="211"/>
      <c r="H92" s="211"/>
    </row>
    <row r="93" spans="1:8" x14ac:dyDescent="0.25">
      <c r="A93" s="211"/>
      <c r="B93" s="211"/>
      <c r="C93" s="211"/>
      <c r="D93" s="211"/>
      <c r="E93" s="211"/>
      <c r="F93" s="211"/>
      <c r="G93" s="211"/>
      <c r="H93" s="211"/>
    </row>
  </sheetData>
  <sheetProtection password="FB6B" sheet="1" formatCells="0" formatColumns="0" formatRows="0"/>
  <mergeCells count="12">
    <mergeCell ref="F1:G1"/>
    <mergeCell ref="F2:H2"/>
    <mergeCell ref="A3:H3"/>
    <mergeCell ref="A5:A7"/>
    <mergeCell ref="F5:F7"/>
    <mergeCell ref="G5:G7"/>
    <mergeCell ref="H5:H7"/>
    <mergeCell ref="E5:E7"/>
    <mergeCell ref="B5:B7"/>
    <mergeCell ref="C5:C7"/>
    <mergeCell ref="D5:D7"/>
    <mergeCell ref="D1:E1"/>
  </mergeCells>
  <pageMargins left="0.11811023622047245" right="0.11811023622047245" top="0.15748031496062992" bottom="0.15748031496062992" header="0.31496062992125984" footer="0.31496062992125984"/>
  <pageSetup paperSize="9" scale="6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4">
    <tabColor rgb="FF92D050"/>
  </sheetPr>
  <dimension ref="A1:Y178"/>
  <sheetViews>
    <sheetView view="pageBreakPreview" zoomScale="90" zoomScaleNormal="70" zoomScaleSheetLayoutView="90" workbookViewId="0">
      <selection activeCell="C1" sqref="C1"/>
    </sheetView>
  </sheetViews>
  <sheetFormatPr defaultRowHeight="15" x14ac:dyDescent="0.25"/>
  <cols>
    <col min="1" max="1" width="9.140625" style="12"/>
    <col min="2" max="2" width="9.85546875" style="12" customWidth="1"/>
    <col min="3" max="3" width="67.5703125" style="12" customWidth="1"/>
    <col min="4" max="4" width="24.42578125" style="12" customWidth="1"/>
    <col min="5" max="5" width="22.42578125" style="12" customWidth="1"/>
    <col min="6" max="25" width="9.140625" style="180"/>
    <col min="26" max="16384" width="9.140625" style="12"/>
  </cols>
  <sheetData>
    <row r="1" spans="1:25" ht="33" customHeight="1" x14ac:dyDescent="0.25">
      <c r="A1" s="791" t="s">
        <v>0</v>
      </c>
      <c r="B1" s="793"/>
      <c r="C1" s="189">
        <f>'Звіт 1,2,3'!D1</f>
        <v>37650571</v>
      </c>
      <c r="D1" s="3" t="s">
        <v>1</v>
      </c>
      <c r="E1" s="168">
        <f>'Звіт 1,2,3'!H1</f>
        <v>150</v>
      </c>
    </row>
    <row r="2" spans="1:25" ht="50.1" customHeight="1" x14ac:dyDescent="0.25">
      <c r="C2" s="1023" t="s">
        <v>287</v>
      </c>
      <c r="D2" s="1023"/>
      <c r="E2" s="1023"/>
    </row>
    <row r="3" spans="1:25" ht="18.75" x14ac:dyDescent="0.3">
      <c r="A3" s="1024" t="s">
        <v>356</v>
      </c>
      <c r="B3" s="1024"/>
      <c r="C3" s="1024"/>
      <c r="D3" s="1024"/>
      <c r="E3" s="1024"/>
      <c r="F3" s="182"/>
      <c r="G3" s="182"/>
      <c r="H3" s="182"/>
    </row>
    <row r="4" spans="1:25" ht="18.75" x14ac:dyDescent="0.3">
      <c r="E4" s="45" t="s">
        <v>323</v>
      </c>
    </row>
    <row r="5" spans="1:25" ht="18.75" customHeight="1" x14ac:dyDescent="0.25">
      <c r="A5" s="1020" t="s">
        <v>6</v>
      </c>
      <c r="B5" s="1020" t="s">
        <v>261</v>
      </c>
      <c r="C5" s="807" t="s">
        <v>7</v>
      </c>
      <c r="D5" s="1016" t="s">
        <v>91</v>
      </c>
      <c r="E5" s="1016" t="s">
        <v>8</v>
      </c>
    </row>
    <row r="6" spans="1:25" ht="18.75" customHeight="1" x14ac:dyDescent="0.25">
      <c r="A6" s="1020"/>
      <c r="B6" s="1020"/>
      <c r="C6" s="807"/>
      <c r="D6" s="1016"/>
      <c r="E6" s="1016"/>
    </row>
    <row r="7" spans="1:25" ht="14.1" customHeight="1" x14ac:dyDescent="0.25">
      <c r="A7" s="1020"/>
      <c r="B7" s="1020"/>
      <c r="C7" s="807"/>
      <c r="D7" s="1016"/>
      <c r="E7" s="1016"/>
    </row>
    <row r="8" spans="1:25" ht="15.75" x14ac:dyDescent="0.25">
      <c r="A8" s="350">
        <v>1</v>
      </c>
      <c r="B8" s="53">
        <v>2</v>
      </c>
      <c r="C8" s="53">
        <v>3</v>
      </c>
      <c r="D8" s="53">
        <v>4</v>
      </c>
      <c r="E8" s="53">
        <v>5</v>
      </c>
    </row>
    <row r="9" spans="1:25" ht="29.45" customHeight="1" x14ac:dyDescent="0.3">
      <c r="A9" s="351">
        <v>1</v>
      </c>
      <c r="B9" s="47"/>
      <c r="C9" s="54" t="s">
        <v>288</v>
      </c>
      <c r="D9" s="348">
        <f>SUM(D10:D37)</f>
        <v>1445663.65</v>
      </c>
      <c r="E9" s="348">
        <f>SUM(E10:E37)</f>
        <v>1474314.26</v>
      </c>
    </row>
    <row r="10" spans="1:25" ht="29.45" customHeight="1" x14ac:dyDescent="0.25">
      <c r="A10" s="343" t="s">
        <v>199</v>
      </c>
      <c r="B10" s="46">
        <v>1</v>
      </c>
      <c r="C10" s="44" t="s">
        <v>259</v>
      </c>
      <c r="D10" s="349">
        <v>1445663.65</v>
      </c>
      <c r="E10" s="349">
        <v>1474314.26</v>
      </c>
    </row>
    <row r="11" spans="1:25" ht="29.45" customHeight="1" x14ac:dyDescent="0.25">
      <c r="A11" s="343" t="s">
        <v>289</v>
      </c>
      <c r="B11" s="46">
        <v>2</v>
      </c>
      <c r="C11" s="44" t="s">
        <v>260</v>
      </c>
      <c r="D11" s="349">
        <v>0</v>
      </c>
      <c r="E11" s="349">
        <v>0</v>
      </c>
    </row>
    <row r="12" spans="1:25" s="41" customFormat="1" ht="29.45" customHeight="1" x14ac:dyDescent="0.25">
      <c r="A12" s="343" t="s">
        <v>290</v>
      </c>
      <c r="B12" s="46">
        <v>3</v>
      </c>
      <c r="C12" s="32" t="s">
        <v>262</v>
      </c>
      <c r="D12" s="374">
        <v>0</v>
      </c>
      <c r="E12" s="374">
        <v>0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</row>
    <row r="13" spans="1:25" ht="33" customHeight="1" x14ac:dyDescent="0.25">
      <c r="A13" s="343" t="s">
        <v>291</v>
      </c>
      <c r="B13" s="46">
        <v>4</v>
      </c>
      <c r="C13" s="32" t="s">
        <v>263</v>
      </c>
      <c r="D13" s="349">
        <v>0</v>
      </c>
      <c r="E13" s="349">
        <v>0</v>
      </c>
    </row>
    <row r="14" spans="1:25" ht="37.35" customHeight="1" x14ac:dyDescent="0.25">
      <c r="A14" s="343" t="s">
        <v>292</v>
      </c>
      <c r="B14" s="46">
        <v>5</v>
      </c>
      <c r="C14" s="32" t="s">
        <v>264</v>
      </c>
      <c r="D14" s="349">
        <v>0</v>
      </c>
      <c r="E14" s="349">
        <v>0</v>
      </c>
    </row>
    <row r="15" spans="1:25" ht="21" customHeight="1" x14ac:dyDescent="0.25">
      <c r="A15" s="343" t="s">
        <v>293</v>
      </c>
      <c r="B15" s="46">
        <v>6</v>
      </c>
      <c r="C15" s="32" t="s">
        <v>265</v>
      </c>
      <c r="D15" s="349">
        <v>0</v>
      </c>
      <c r="E15" s="349">
        <v>0</v>
      </c>
    </row>
    <row r="16" spans="1:25" ht="21" customHeight="1" x14ac:dyDescent="0.25">
      <c r="A16" s="343" t="s">
        <v>294</v>
      </c>
      <c r="B16" s="46">
        <v>7</v>
      </c>
      <c r="C16" s="32" t="s">
        <v>285</v>
      </c>
      <c r="D16" s="349">
        <v>0</v>
      </c>
      <c r="E16" s="349">
        <v>0</v>
      </c>
    </row>
    <row r="17" spans="1:5" ht="35.450000000000003" customHeight="1" x14ac:dyDescent="0.25">
      <c r="A17" s="343" t="s">
        <v>295</v>
      </c>
      <c r="B17" s="46">
        <v>8</v>
      </c>
      <c r="C17" s="32" t="s">
        <v>286</v>
      </c>
      <c r="D17" s="349">
        <v>0</v>
      </c>
      <c r="E17" s="349">
        <v>0</v>
      </c>
    </row>
    <row r="18" spans="1:5" ht="62.1" customHeight="1" x14ac:dyDescent="0.25">
      <c r="A18" s="343" t="s">
        <v>296</v>
      </c>
      <c r="B18" s="46">
        <v>9</v>
      </c>
      <c r="C18" s="32" t="s">
        <v>266</v>
      </c>
      <c r="D18" s="349">
        <v>0</v>
      </c>
      <c r="E18" s="349">
        <v>0</v>
      </c>
    </row>
    <row r="19" spans="1:5" ht="24" customHeight="1" x14ac:dyDescent="0.25">
      <c r="A19" s="343" t="s">
        <v>297</v>
      </c>
      <c r="B19" s="46">
        <v>10</v>
      </c>
      <c r="C19" s="32" t="s">
        <v>267</v>
      </c>
      <c r="D19" s="349">
        <v>0</v>
      </c>
      <c r="E19" s="349">
        <v>0</v>
      </c>
    </row>
    <row r="20" spans="1:5" ht="24" customHeight="1" x14ac:dyDescent="0.25">
      <c r="A20" s="343" t="s">
        <v>298</v>
      </c>
      <c r="B20" s="46">
        <v>11</v>
      </c>
      <c r="C20" s="32" t="s">
        <v>268</v>
      </c>
      <c r="D20" s="349">
        <v>0</v>
      </c>
      <c r="E20" s="349">
        <v>0</v>
      </c>
    </row>
    <row r="21" spans="1:5" ht="24" customHeight="1" x14ac:dyDescent="0.25">
      <c r="A21" s="343" t="s">
        <v>299</v>
      </c>
      <c r="B21" s="46">
        <v>12</v>
      </c>
      <c r="C21" s="32" t="s">
        <v>269</v>
      </c>
      <c r="D21" s="349">
        <v>0</v>
      </c>
      <c r="E21" s="349">
        <v>0</v>
      </c>
    </row>
    <row r="22" spans="1:5" ht="24" customHeight="1" x14ac:dyDescent="0.25">
      <c r="A22" s="343" t="s">
        <v>300</v>
      </c>
      <c r="B22" s="46">
        <v>13</v>
      </c>
      <c r="C22" s="32" t="s">
        <v>270</v>
      </c>
      <c r="D22" s="349">
        <v>0</v>
      </c>
      <c r="E22" s="349">
        <v>0</v>
      </c>
    </row>
    <row r="23" spans="1:5" ht="24" customHeight="1" x14ac:dyDescent="0.25">
      <c r="A23" s="343" t="s">
        <v>301</v>
      </c>
      <c r="B23" s="46">
        <v>14</v>
      </c>
      <c r="C23" s="32" t="s">
        <v>271</v>
      </c>
      <c r="D23" s="349">
        <v>0</v>
      </c>
      <c r="E23" s="349">
        <v>0</v>
      </c>
    </row>
    <row r="24" spans="1:5" ht="24" customHeight="1" x14ac:dyDescent="0.25">
      <c r="A24" s="343" t="s">
        <v>302</v>
      </c>
      <c r="B24" s="46">
        <v>15</v>
      </c>
      <c r="C24" s="32" t="s">
        <v>272</v>
      </c>
      <c r="D24" s="349">
        <v>0</v>
      </c>
      <c r="E24" s="349">
        <v>0</v>
      </c>
    </row>
    <row r="25" spans="1:5" ht="33.6" customHeight="1" x14ac:dyDescent="0.25">
      <c r="A25" s="343" t="s">
        <v>303</v>
      </c>
      <c r="B25" s="46">
        <v>16</v>
      </c>
      <c r="C25" s="32" t="s">
        <v>273</v>
      </c>
      <c r="D25" s="349">
        <v>0</v>
      </c>
      <c r="E25" s="349">
        <v>0</v>
      </c>
    </row>
    <row r="26" spans="1:5" ht="33.6" customHeight="1" x14ac:dyDescent="0.25">
      <c r="A26" s="343" t="s">
        <v>304</v>
      </c>
      <c r="B26" s="46">
        <v>17</v>
      </c>
      <c r="C26" s="43" t="s">
        <v>274</v>
      </c>
      <c r="D26" s="349">
        <v>0</v>
      </c>
      <c r="E26" s="349">
        <v>0</v>
      </c>
    </row>
    <row r="27" spans="1:5" ht="33.6" customHeight="1" x14ac:dyDescent="0.25">
      <c r="A27" s="343" t="s">
        <v>305</v>
      </c>
      <c r="B27" s="46">
        <v>18</v>
      </c>
      <c r="C27" s="43" t="s">
        <v>275</v>
      </c>
      <c r="D27" s="349">
        <v>0</v>
      </c>
      <c r="E27" s="349">
        <v>0</v>
      </c>
    </row>
    <row r="28" spans="1:5" ht="26.45" customHeight="1" x14ac:dyDescent="0.25">
      <c r="A28" s="343" t="s">
        <v>306</v>
      </c>
      <c r="B28" s="46">
        <v>19</v>
      </c>
      <c r="C28" s="43" t="s">
        <v>276</v>
      </c>
      <c r="D28" s="349">
        <v>0</v>
      </c>
      <c r="E28" s="349">
        <v>0</v>
      </c>
    </row>
    <row r="29" spans="1:5" ht="26.45" customHeight="1" x14ac:dyDescent="0.25">
      <c r="A29" s="343" t="s">
        <v>307</v>
      </c>
      <c r="B29" s="46">
        <v>20</v>
      </c>
      <c r="C29" s="43" t="s">
        <v>277</v>
      </c>
      <c r="D29" s="349">
        <v>0</v>
      </c>
      <c r="E29" s="349">
        <v>0</v>
      </c>
    </row>
    <row r="30" spans="1:5" ht="26.45" customHeight="1" x14ac:dyDescent="0.25">
      <c r="A30" s="343" t="s">
        <v>308</v>
      </c>
      <c r="B30" s="46">
        <v>21</v>
      </c>
      <c r="C30" s="43" t="s">
        <v>278</v>
      </c>
      <c r="D30" s="349">
        <v>0</v>
      </c>
      <c r="E30" s="349">
        <v>0</v>
      </c>
    </row>
    <row r="31" spans="1:5" ht="63.6" customHeight="1" x14ac:dyDescent="0.25">
      <c r="A31" s="343" t="s">
        <v>309</v>
      </c>
      <c r="B31" s="46">
        <v>22</v>
      </c>
      <c r="C31" s="43" t="s">
        <v>279</v>
      </c>
      <c r="D31" s="349">
        <v>0</v>
      </c>
      <c r="E31" s="349">
        <v>0</v>
      </c>
    </row>
    <row r="32" spans="1:5" ht="26.1" customHeight="1" x14ac:dyDescent="0.25">
      <c r="A32" s="343" t="s">
        <v>310</v>
      </c>
      <c r="B32" s="46">
        <v>23</v>
      </c>
      <c r="C32" s="43" t="s">
        <v>280</v>
      </c>
      <c r="D32" s="349">
        <v>0</v>
      </c>
      <c r="E32" s="349">
        <v>0</v>
      </c>
    </row>
    <row r="33" spans="1:5" ht="26.1" customHeight="1" x14ac:dyDescent="0.25">
      <c r="A33" s="343" t="s">
        <v>311</v>
      </c>
      <c r="B33" s="46">
        <v>24</v>
      </c>
      <c r="C33" s="43" t="s">
        <v>281</v>
      </c>
      <c r="D33" s="349">
        <v>0</v>
      </c>
      <c r="E33" s="349">
        <v>0</v>
      </c>
    </row>
    <row r="34" spans="1:5" ht="41.45" customHeight="1" x14ac:dyDescent="0.25">
      <c r="A34" s="343" t="s">
        <v>312</v>
      </c>
      <c r="B34" s="46">
        <v>25</v>
      </c>
      <c r="C34" s="43" t="s">
        <v>282</v>
      </c>
      <c r="D34" s="349">
        <v>0</v>
      </c>
      <c r="E34" s="349">
        <v>0</v>
      </c>
    </row>
    <row r="35" spans="1:5" ht="33.6" customHeight="1" x14ac:dyDescent="0.25">
      <c r="A35" s="343" t="s">
        <v>313</v>
      </c>
      <c r="B35" s="46">
        <v>26</v>
      </c>
      <c r="C35" s="43" t="s">
        <v>283</v>
      </c>
      <c r="D35" s="349">
        <v>0</v>
      </c>
      <c r="E35" s="349">
        <v>0</v>
      </c>
    </row>
    <row r="36" spans="1:5" ht="40.35" customHeight="1" x14ac:dyDescent="0.25">
      <c r="A36" s="343" t="s">
        <v>314</v>
      </c>
      <c r="B36" s="46">
        <v>27</v>
      </c>
      <c r="C36" s="43" t="s">
        <v>284</v>
      </c>
      <c r="D36" s="349">
        <v>0</v>
      </c>
      <c r="E36" s="349">
        <v>0</v>
      </c>
    </row>
    <row r="37" spans="1:5" ht="24.6" customHeight="1" x14ac:dyDescent="0.3">
      <c r="A37" s="343" t="s">
        <v>315</v>
      </c>
      <c r="B37" s="46">
        <v>28</v>
      </c>
      <c r="C37" s="352" t="s">
        <v>371</v>
      </c>
      <c r="D37" s="349">
        <v>0</v>
      </c>
      <c r="E37" s="349">
        <v>0</v>
      </c>
    </row>
    <row r="38" spans="1:5" s="180" customFormat="1" x14ac:dyDescent="0.25"/>
    <row r="39" spans="1:5" s="180" customFormat="1" x14ac:dyDescent="0.25"/>
    <row r="40" spans="1:5" s="180" customFormat="1" x14ac:dyDescent="0.25"/>
    <row r="41" spans="1:5" s="180" customFormat="1" x14ac:dyDescent="0.25"/>
    <row r="42" spans="1:5" s="180" customFormat="1" x14ac:dyDescent="0.25"/>
    <row r="43" spans="1:5" s="180" customFormat="1" x14ac:dyDescent="0.25"/>
    <row r="44" spans="1:5" s="180" customFormat="1" x14ac:dyDescent="0.25"/>
    <row r="45" spans="1:5" s="180" customFormat="1" x14ac:dyDescent="0.25"/>
    <row r="46" spans="1:5" s="180" customFormat="1" x14ac:dyDescent="0.25"/>
    <row r="47" spans="1:5" s="180" customFormat="1" x14ac:dyDescent="0.25"/>
    <row r="48" spans="1:5" s="180" customFormat="1" x14ac:dyDescent="0.25"/>
    <row r="49" s="180" customFormat="1" x14ac:dyDescent="0.25"/>
    <row r="50" s="180" customFormat="1" x14ac:dyDescent="0.25"/>
    <row r="51" s="180" customFormat="1" x14ac:dyDescent="0.25"/>
    <row r="52" s="180" customFormat="1" x14ac:dyDescent="0.25"/>
    <row r="53" s="180" customFormat="1" x14ac:dyDescent="0.25"/>
    <row r="54" s="180" customFormat="1" x14ac:dyDescent="0.25"/>
    <row r="55" s="180" customFormat="1" x14ac:dyDescent="0.25"/>
    <row r="56" s="180" customFormat="1" x14ac:dyDescent="0.25"/>
    <row r="57" s="180" customFormat="1" x14ac:dyDescent="0.25"/>
    <row r="58" s="180" customFormat="1" x14ac:dyDescent="0.25"/>
    <row r="59" s="180" customFormat="1" x14ac:dyDescent="0.25"/>
    <row r="60" s="180" customFormat="1" x14ac:dyDescent="0.25"/>
    <row r="61" s="180" customFormat="1" x14ac:dyDescent="0.25"/>
    <row r="62" s="180" customFormat="1" x14ac:dyDescent="0.25"/>
    <row r="63" s="180" customFormat="1" x14ac:dyDescent="0.25"/>
    <row r="64" s="180" customFormat="1" x14ac:dyDescent="0.25"/>
    <row r="65" s="180" customFormat="1" x14ac:dyDescent="0.25"/>
    <row r="66" s="180" customFormat="1" x14ac:dyDescent="0.25"/>
    <row r="67" s="180" customFormat="1" x14ac:dyDescent="0.25"/>
    <row r="68" s="180" customFormat="1" x14ac:dyDescent="0.25"/>
    <row r="69" s="180" customFormat="1" x14ac:dyDescent="0.25"/>
    <row r="70" s="180" customFormat="1" x14ac:dyDescent="0.25"/>
    <row r="71" s="180" customFormat="1" x14ac:dyDescent="0.25"/>
    <row r="72" s="180" customFormat="1" x14ac:dyDescent="0.25"/>
    <row r="73" s="180" customFormat="1" x14ac:dyDescent="0.25"/>
    <row r="74" s="180" customFormat="1" x14ac:dyDescent="0.25"/>
    <row r="75" s="180" customFormat="1" x14ac:dyDescent="0.25"/>
    <row r="76" s="180" customFormat="1" x14ac:dyDescent="0.25"/>
    <row r="77" s="180" customFormat="1" x14ac:dyDescent="0.25"/>
    <row r="78" s="180" customFormat="1" x14ac:dyDescent="0.25"/>
    <row r="79" s="180" customFormat="1" x14ac:dyDescent="0.25"/>
    <row r="80" s="180" customFormat="1" x14ac:dyDescent="0.25"/>
    <row r="81" s="180" customFormat="1" x14ac:dyDescent="0.25"/>
    <row r="82" s="180" customFormat="1" x14ac:dyDescent="0.25"/>
    <row r="83" s="180" customFormat="1" x14ac:dyDescent="0.25"/>
    <row r="84" s="180" customFormat="1" x14ac:dyDescent="0.25"/>
    <row r="85" s="180" customFormat="1" x14ac:dyDescent="0.25"/>
    <row r="86" s="180" customFormat="1" x14ac:dyDescent="0.25"/>
    <row r="87" s="180" customFormat="1" x14ac:dyDescent="0.25"/>
    <row r="88" s="180" customFormat="1" x14ac:dyDescent="0.25"/>
    <row r="89" s="180" customFormat="1" x14ac:dyDescent="0.25"/>
    <row r="90" s="180" customFormat="1" x14ac:dyDescent="0.25"/>
    <row r="91" s="180" customFormat="1" x14ac:dyDescent="0.25"/>
    <row r="92" s="180" customFormat="1" x14ac:dyDescent="0.25"/>
    <row r="93" s="180" customFormat="1" x14ac:dyDescent="0.25"/>
    <row r="94" s="180" customFormat="1" x14ac:dyDescent="0.25"/>
    <row r="95" s="180" customFormat="1" x14ac:dyDescent="0.25"/>
    <row r="96" s="180" customFormat="1" x14ac:dyDescent="0.25"/>
    <row r="97" s="180" customFormat="1" x14ac:dyDescent="0.25"/>
    <row r="98" s="180" customFormat="1" x14ac:dyDescent="0.25"/>
    <row r="99" s="180" customFormat="1" x14ac:dyDescent="0.25"/>
    <row r="100" s="180" customFormat="1" x14ac:dyDescent="0.25"/>
    <row r="101" s="180" customFormat="1" x14ac:dyDescent="0.25"/>
    <row r="102" s="180" customFormat="1" x14ac:dyDescent="0.25"/>
    <row r="103" s="180" customFormat="1" x14ac:dyDescent="0.25"/>
    <row r="104" s="180" customFormat="1" x14ac:dyDescent="0.25"/>
    <row r="105" s="180" customFormat="1" x14ac:dyDescent="0.25"/>
    <row r="106" s="180" customFormat="1" x14ac:dyDescent="0.25"/>
    <row r="107" s="180" customFormat="1" x14ac:dyDescent="0.25"/>
    <row r="108" s="180" customFormat="1" x14ac:dyDescent="0.25"/>
    <row r="109" s="180" customFormat="1" x14ac:dyDescent="0.25"/>
    <row r="110" s="180" customFormat="1" x14ac:dyDescent="0.25"/>
    <row r="111" s="180" customFormat="1" x14ac:dyDescent="0.25"/>
    <row r="112" s="180" customFormat="1" x14ac:dyDescent="0.25"/>
    <row r="113" s="180" customFormat="1" x14ac:dyDescent="0.25"/>
    <row r="114" s="180" customFormat="1" x14ac:dyDescent="0.25"/>
    <row r="115" s="180" customFormat="1" x14ac:dyDescent="0.25"/>
    <row r="116" s="180" customFormat="1" x14ac:dyDescent="0.25"/>
    <row r="117" s="180" customFormat="1" x14ac:dyDescent="0.25"/>
    <row r="118" s="180" customFormat="1" x14ac:dyDescent="0.25"/>
    <row r="119" s="180" customFormat="1" x14ac:dyDescent="0.25"/>
    <row r="120" s="180" customFormat="1" x14ac:dyDescent="0.25"/>
    <row r="121" s="180" customFormat="1" x14ac:dyDescent="0.25"/>
    <row r="122" s="180" customFormat="1" x14ac:dyDescent="0.25"/>
    <row r="123" s="180" customFormat="1" x14ac:dyDescent="0.25"/>
    <row r="124" s="180" customFormat="1" x14ac:dyDescent="0.25"/>
    <row r="125" s="180" customFormat="1" x14ac:dyDescent="0.25"/>
    <row r="126" s="180" customFormat="1" x14ac:dyDescent="0.25"/>
    <row r="127" s="180" customFormat="1" x14ac:dyDescent="0.25"/>
    <row r="128" s="180" customFormat="1" x14ac:dyDescent="0.25"/>
    <row r="129" s="180" customFormat="1" x14ac:dyDescent="0.25"/>
    <row r="130" s="180" customFormat="1" x14ac:dyDescent="0.25"/>
    <row r="131" s="180" customFormat="1" x14ac:dyDescent="0.25"/>
    <row r="132" s="180" customFormat="1" x14ac:dyDescent="0.25"/>
    <row r="133" s="180" customFormat="1" x14ac:dyDescent="0.25"/>
    <row r="134" s="180" customFormat="1" x14ac:dyDescent="0.25"/>
    <row r="135" s="180" customFormat="1" x14ac:dyDescent="0.25"/>
    <row r="136" s="180" customFormat="1" x14ac:dyDescent="0.25"/>
    <row r="137" s="180" customFormat="1" x14ac:dyDescent="0.25"/>
    <row r="138" s="180" customFormat="1" x14ac:dyDescent="0.25"/>
    <row r="139" s="180" customFormat="1" x14ac:dyDescent="0.25"/>
    <row r="140" s="180" customFormat="1" x14ac:dyDescent="0.25"/>
    <row r="141" s="180" customFormat="1" x14ac:dyDescent="0.25"/>
    <row r="142" s="180" customFormat="1" x14ac:dyDescent="0.25"/>
    <row r="143" s="180" customFormat="1" x14ac:dyDescent="0.25"/>
    <row r="144" s="180" customFormat="1" x14ac:dyDescent="0.25"/>
    <row r="145" s="180" customFormat="1" x14ac:dyDescent="0.25"/>
    <row r="146" s="180" customFormat="1" x14ac:dyDescent="0.25"/>
    <row r="147" s="180" customFormat="1" x14ac:dyDescent="0.25"/>
    <row r="148" s="180" customFormat="1" x14ac:dyDescent="0.25"/>
    <row r="149" s="180" customFormat="1" x14ac:dyDescent="0.25"/>
    <row r="150" s="180" customFormat="1" x14ac:dyDescent="0.25"/>
    <row r="151" s="180" customFormat="1" x14ac:dyDescent="0.25"/>
    <row r="152" s="180" customFormat="1" x14ac:dyDescent="0.25"/>
    <row r="153" s="180" customFormat="1" x14ac:dyDescent="0.25"/>
    <row r="154" s="180" customFormat="1" x14ac:dyDescent="0.25"/>
    <row r="155" s="180" customFormat="1" x14ac:dyDescent="0.25"/>
    <row r="156" s="180" customFormat="1" x14ac:dyDescent="0.25"/>
    <row r="157" s="180" customFormat="1" x14ac:dyDescent="0.25"/>
    <row r="158" s="180" customFormat="1" x14ac:dyDescent="0.25"/>
    <row r="159" s="180" customFormat="1" x14ac:dyDescent="0.25"/>
    <row r="160" s="180" customFormat="1" x14ac:dyDescent="0.25"/>
    <row r="161" s="180" customFormat="1" x14ac:dyDescent="0.25"/>
    <row r="162" s="180" customFormat="1" x14ac:dyDescent="0.25"/>
    <row r="163" s="180" customFormat="1" x14ac:dyDescent="0.25"/>
    <row r="164" s="180" customFormat="1" x14ac:dyDescent="0.25"/>
    <row r="165" s="180" customFormat="1" x14ac:dyDescent="0.25"/>
    <row r="166" s="180" customFormat="1" x14ac:dyDescent="0.25"/>
    <row r="167" s="180" customFormat="1" x14ac:dyDescent="0.25"/>
    <row r="168" s="180" customFormat="1" x14ac:dyDescent="0.25"/>
    <row r="169" s="180" customFormat="1" x14ac:dyDescent="0.25"/>
    <row r="170" s="180" customFormat="1" x14ac:dyDescent="0.25"/>
    <row r="171" s="180" customFormat="1" x14ac:dyDescent="0.25"/>
    <row r="172" s="180" customFormat="1" x14ac:dyDescent="0.25"/>
    <row r="173" s="180" customFormat="1" x14ac:dyDescent="0.25"/>
    <row r="174" s="180" customFormat="1" x14ac:dyDescent="0.25"/>
    <row r="175" s="180" customFormat="1" x14ac:dyDescent="0.25"/>
    <row r="176" s="180" customFormat="1" x14ac:dyDescent="0.25"/>
    <row r="177" s="180" customFormat="1" x14ac:dyDescent="0.25"/>
    <row r="178" s="180" customFormat="1" x14ac:dyDescent="0.25"/>
  </sheetData>
  <sheetProtection password="FB6B" sheet="1" formatCells="0" formatColumns="0" formatRows="0"/>
  <mergeCells count="8">
    <mergeCell ref="A1:B1"/>
    <mergeCell ref="C2:E2"/>
    <mergeCell ref="A3:E3"/>
    <mergeCell ref="A5:A7"/>
    <mergeCell ref="E5:E7"/>
    <mergeCell ref="B5:B7"/>
    <mergeCell ref="C5:C7"/>
    <mergeCell ref="D5:D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6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Автоперевірка 2</vt:lpstr>
      <vt:lpstr>Hidden</vt:lpstr>
      <vt:lpstr>Звіт 1,2,3</vt:lpstr>
      <vt:lpstr>Звіт   4,5,6</vt:lpstr>
      <vt:lpstr>Звіт  7,8</vt:lpstr>
      <vt:lpstr>Звіт   9</vt:lpstr>
      <vt:lpstr>Дод_Надходж ПМГ </vt:lpstr>
      <vt:lpstr>Дод_Доходи ПМГ </vt:lpstr>
      <vt:lpstr>'Звіт   4,5,6'!Область_печати</vt:lpstr>
      <vt:lpstr>'Звіт   9'!Область_печати</vt:lpstr>
      <vt:lpstr>'Звіт  7,8'!Область_печати</vt:lpstr>
      <vt:lpstr>'Звіт 1,2,3'!Область_печати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Загрядська Олена Валеріївна</dc:creator>
  <cp:lastModifiedBy>Головбух</cp:lastModifiedBy>
  <cp:lastPrinted>2020-07-17T18:45:44Z</cp:lastPrinted>
  <dcterms:created xsi:type="dcterms:W3CDTF">2020-03-06T08:04:17Z</dcterms:created>
  <dcterms:modified xsi:type="dcterms:W3CDTF">2020-07-21T13:25:48Z</dcterms:modified>
</cp:coreProperties>
</file>